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5\2025_01_16\"/>
    </mc:Choice>
  </mc:AlternateContent>
  <bookViews>
    <workbookView xWindow="0" yWindow="0" windowWidth="18780" windowHeight="6975" tabRatio="852" firstSheet="1"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Т-во'!$286:$287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Т-во'!$288:$289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тарифов'!$121:$181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территорий'!$E$51:$I$51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тарифов'!$Z$12:$Z$183</definedName>
    <definedName name="DIFFERENTIATION_TARIFF_VD_ID">'Перечень тарифов'!$AB$12:$AB$183</definedName>
    <definedName name="DIFFERENTIATION_TARIFF_VTAR_ID">'Перечень тарифов'!$AA$12:$AA$183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территорий'!$C$12:$C$51</definedName>
    <definedName name="pDel_LT_MO">'Список территорий'!$D$11:$D$51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Т-во'!$T$285</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1">'ВО. Т-во'!$57:$68</definedName>
    <definedName name="pt_cs_32">'ВО. Т-во'!$71:$82</definedName>
    <definedName name="pt_cs_33">'ВО. Т-во'!$85:$96</definedName>
    <definedName name="pt_cs_34">'ВО. Т-во'!$97:$108</definedName>
    <definedName name="pt_cs_35">'ВО. Т-во'!$109:$120</definedName>
    <definedName name="pt_cs_36">'ВО. Т-во'!$121:$132</definedName>
    <definedName name="pt_cs_37">'ВО. Т-во'!$133:$144</definedName>
    <definedName name="pt_cs_38">'ВО. Т-во'!$147:$158</definedName>
    <definedName name="pt_cs_39">'ВО. Т-во'!$161:$172</definedName>
    <definedName name="pt_cs_4">'ТС. Т-гор.вода'!$51:$62</definedName>
    <definedName name="pt_cs_40">'ВО. Т-во'!$175:$186</definedName>
    <definedName name="pt_cs_41">'ВО. Т-во'!$189:$200</definedName>
    <definedName name="pt_cs_42">'ВО. Т-во'!$203:$214</definedName>
    <definedName name="pt_cs_43">'ВО. Т-во'!$217:$228</definedName>
    <definedName name="pt_cs_44">'ВО. Т-во'!$231:$242</definedName>
    <definedName name="pt_cs_45">'ВО. Т-во'!$245:$256</definedName>
    <definedName name="pt_cs_46">'ВО. Т-во'!$259:$270</definedName>
    <definedName name="pt_cs_47">'ВО. Т-во'!$271:$282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тарифов'!$AL$12:$AL$183</definedName>
    <definedName name="PT_DIFFERENTIATION_CS_ID">'Перечень тарифов'!$AF$12:$AF$183</definedName>
    <definedName name="PT_DIFFERENTIATION_IST_TE">'Перечень тарифов'!$AM$12:$AM$183</definedName>
    <definedName name="PT_DIFFERENTIATION_IST_TE_ID">'Перечень тарифов'!$AG$12:$AG$183</definedName>
    <definedName name="PT_DIFFERENTIATION_NTAR">'Перечень тарифов'!$AJ$12:$AJ$183</definedName>
    <definedName name="PT_DIFFERENTIATION_NTAR_ID">'Перечень тарифов'!$AD$12:$AD$183</definedName>
    <definedName name="PT_DIFFERENTIATION_NUM_CS">'Перечень тарифов'!$AP$12:$AP$183</definedName>
    <definedName name="PT_DIFFERENTIATION_NUM_IST_TE">'Перечень тарифов'!$AQ$12:$AQ$183</definedName>
    <definedName name="PT_DIFFERENTIATION_NUM_NTAR">'Перечень тарифов'!$AN$12:$AN$183</definedName>
    <definedName name="PT_DIFFERENTIATION_NUM_TER">'Перечень тарифов'!$AO$12:$AO$183</definedName>
    <definedName name="PT_DIFFERENTIATION_TER">'Перечень тарифов'!$AK$12:$AK$183</definedName>
    <definedName name="PT_DIFFERENTIATION_TER_ID">'Перечень тарифов'!$AE$12:$AE$183</definedName>
    <definedName name="PT_DIFFERENTIATION_VDET">'Перечень тарифов'!$AI$12:$AI$183</definedName>
    <definedName name="PT_DIFFERENTIATION_VTAR">'Перечень тарифов'!$AH$12:$AH$183</definedName>
    <definedName name="PT_DIFFERENTIATION_VTAR_ID">'Перечень тарифов'!$AC$12:$AC$183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Т-во'!$41:$284</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Т-во'!$56:$69</definedName>
    <definedName name="pt_ter_31">'ВО. Т-во'!$70:$83</definedName>
    <definedName name="pt_ter_32">'ВО. Т-во'!$84:$145</definedName>
    <definedName name="pt_ter_33">'ВО. Т-во'!$146:$159</definedName>
    <definedName name="pt_ter_34">'ВО. Т-во'!$160:$173</definedName>
    <definedName name="pt_ter_35">'ВО. Т-во'!$174:$187</definedName>
    <definedName name="pt_ter_36">'ВО. Т-во'!$188:$201</definedName>
    <definedName name="pt_ter_37">'ВО. Т-во'!$202:$215</definedName>
    <definedName name="pt_ter_38">'ВО. Т-во'!$216:$229</definedName>
    <definedName name="pt_ter_39">'ВО. Т-во'!$230:$243</definedName>
    <definedName name="pt_ter_4">'ТС. Т-гор.вода'!$50:$63</definedName>
    <definedName name="pt_ter_40">'ВО. Т-во'!$244:$257</definedName>
    <definedName name="pt_ter_41">'ВО. Т-во'!$258:$283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Т-во'!$CU$286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территорий'!$E$11:$I$51</definedName>
    <definedName name="TERRITORY_ID">TEHSHEET!$E$56</definedName>
    <definedName name="TERRITORY_LIST_ID">'Список территорий'!$F$11:$F$51</definedName>
    <definedName name="TERRITORY_MO_LIST">'Список территорий'!$H$11:$H$51</definedName>
    <definedName name="TERRITORY_MR_LIST">'Список территорий'!$G$11:$G$51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L101" i="63"/>
  <c r="E130" i="33" s="1"/>
  <c r="K101" i="63"/>
  <c r="N101" i="63" s="1"/>
  <c r="J101" i="63"/>
  <c r="M101" i="63" s="1"/>
  <c r="I101" i="63"/>
  <c r="N100" i="63"/>
  <c r="K100" i="63"/>
  <c r="J100" i="63"/>
  <c r="M100" i="63" s="1"/>
  <c r="I100" i="63"/>
  <c r="L100" i="63" s="1"/>
  <c r="L99" i="63"/>
  <c r="K99" i="63"/>
  <c r="N99" i="63" s="1"/>
  <c r="J99" i="63"/>
  <c r="M99" i="63" s="1"/>
  <c r="I99" i="63"/>
  <c r="N98" i="63"/>
  <c r="J127" i="33" s="1"/>
  <c r="K98" i="63"/>
  <c r="J98" i="63"/>
  <c r="M98" i="63" s="1"/>
  <c r="I98" i="63"/>
  <c r="L98" i="63" s="1"/>
  <c r="M97" i="63"/>
  <c r="L97" i="63"/>
  <c r="K97" i="63"/>
  <c r="N97" i="63" s="1"/>
  <c r="J97" i="63"/>
  <c r="I97" i="63"/>
  <c r="N96" i="63"/>
  <c r="K96" i="63"/>
  <c r="J96" i="63"/>
  <c r="M96" i="63" s="1"/>
  <c r="I96" i="63"/>
  <c r="L96" i="63" s="1"/>
  <c r="E123" i="33" s="1"/>
  <c r="M95" i="63"/>
  <c r="L95" i="63"/>
  <c r="K95" i="63"/>
  <c r="N95" i="63" s="1"/>
  <c r="J95" i="63"/>
  <c r="I95" i="63"/>
  <c r="N94" i="63"/>
  <c r="K94" i="63"/>
  <c r="J94" i="63"/>
  <c r="M94" i="63" s="1"/>
  <c r="F117" i="3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F109" i="3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F99" i="33" s="1"/>
  <c r="I78" i="63"/>
  <c r="L78" i="63" s="1"/>
  <c r="M77" i="63"/>
  <c r="L77" i="63"/>
  <c r="K77" i="63"/>
  <c r="N77" i="63" s="1"/>
  <c r="J77" i="63"/>
  <c r="I77" i="63"/>
  <c r="N76" i="63"/>
  <c r="K76" i="63"/>
  <c r="J76" i="63"/>
  <c r="M76" i="63" s="1"/>
  <c r="I76" i="63"/>
  <c r="L76" i="63" s="1"/>
  <c r="M75" i="63"/>
  <c r="L75" i="63"/>
  <c r="K75" i="63"/>
  <c r="N75" i="63" s="1"/>
  <c r="J75" i="63"/>
  <c r="I75" i="63"/>
  <c r="N74" i="63"/>
  <c r="J95" i="33" s="1"/>
  <c r="K74" i="63"/>
  <c r="J74" i="63"/>
  <c r="M74" i="63" s="1"/>
  <c r="I74" i="63"/>
  <c r="L74" i="63" s="1"/>
  <c r="M73" i="63"/>
  <c r="L73" i="63"/>
  <c r="K73" i="63"/>
  <c r="N73" i="63" s="1"/>
  <c r="J73" i="63"/>
  <c r="I73" i="63"/>
  <c r="N72" i="63"/>
  <c r="K72" i="63"/>
  <c r="J72" i="63"/>
  <c r="M72" i="63" s="1"/>
  <c r="I72" i="63"/>
  <c r="L72" i="63" s="1"/>
  <c r="E93" i="33" s="1"/>
  <c r="M71" i="63"/>
  <c r="L71" i="63"/>
  <c r="K71" i="63"/>
  <c r="N71" i="63" s="1"/>
  <c r="J71" i="63"/>
  <c r="I71" i="63"/>
  <c r="N70" i="63"/>
  <c r="K70" i="63"/>
  <c r="J70" i="63"/>
  <c r="M70" i="63" s="1"/>
  <c r="F91" i="33" s="1"/>
  <c r="I70" i="63"/>
  <c r="L70" i="63" s="1"/>
  <c r="M69" i="63"/>
  <c r="L69" i="63"/>
  <c r="K69" i="63"/>
  <c r="N69" i="63" s="1"/>
  <c r="J69" i="63"/>
  <c r="I69" i="63"/>
  <c r="N68" i="63"/>
  <c r="K68" i="63"/>
  <c r="J68" i="63"/>
  <c r="M68" i="63" s="1"/>
  <c r="I68" i="63"/>
  <c r="L68" i="63" s="1"/>
  <c r="M67" i="63"/>
  <c r="L67" i="63"/>
  <c r="K67" i="63"/>
  <c r="N67" i="63" s="1"/>
  <c r="J67" i="63"/>
  <c r="I67" i="63"/>
  <c r="N66" i="63"/>
  <c r="J87" i="33" s="1"/>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82" i="33" s="1"/>
  <c r="J61" i="63"/>
  <c r="I61" i="63"/>
  <c r="N60" i="63"/>
  <c r="K60" i="63"/>
  <c r="J60" i="63"/>
  <c r="M60" i="63" s="1"/>
  <c r="I60" i="63"/>
  <c r="L60" i="63" s="1"/>
  <c r="M59" i="63"/>
  <c r="L59" i="63"/>
  <c r="E80" i="33" s="1"/>
  <c r="K59" i="63"/>
  <c r="N59" i="63" s="1"/>
  <c r="J59" i="63"/>
  <c r="I59" i="63"/>
  <c r="T58" i="63"/>
  <c r="L58" i="63"/>
  <c r="K58" i="63"/>
  <c r="N58" i="63" s="1"/>
  <c r="J58" i="63"/>
  <c r="M58" i="63" s="1"/>
  <c r="I58" i="63"/>
  <c r="T57" i="63"/>
  <c r="N57" i="63"/>
  <c r="K57" i="63"/>
  <c r="J57" i="63"/>
  <c r="M57" i="63" s="1"/>
  <c r="I57" i="63"/>
  <c r="L57" i="63" s="1"/>
  <c r="T56" i="63"/>
  <c r="N56" i="63"/>
  <c r="M56" i="63"/>
  <c r="F77" i="33" s="1"/>
  <c r="K56" i="63"/>
  <c r="J56" i="63"/>
  <c r="I56" i="63"/>
  <c r="L56" i="63" s="1"/>
  <c r="T55" i="63"/>
  <c r="M55" i="63"/>
  <c r="L55" i="63"/>
  <c r="K55" i="63"/>
  <c r="N55" i="63" s="1"/>
  <c r="J55" i="63"/>
  <c r="I55" i="63"/>
  <c r="N54" i="63"/>
  <c r="K54" i="63"/>
  <c r="J54" i="63"/>
  <c r="M54" i="63" s="1"/>
  <c r="I54" i="63"/>
  <c r="L54" i="63" s="1"/>
  <c r="M53" i="63"/>
  <c r="L53" i="63"/>
  <c r="K53" i="63"/>
  <c r="N53" i="63" s="1"/>
  <c r="J74" i="33" s="1"/>
  <c r="J53" i="63"/>
  <c r="I53" i="63"/>
  <c r="N52" i="63"/>
  <c r="K52" i="63"/>
  <c r="J52" i="63"/>
  <c r="M52" i="63" s="1"/>
  <c r="I52" i="63"/>
  <c r="L52" i="63" s="1"/>
  <c r="M51" i="63"/>
  <c r="L51" i="63"/>
  <c r="E72" i="33" s="1"/>
  <c r="K51" i="63"/>
  <c r="N51" i="63" s="1"/>
  <c r="J51" i="63"/>
  <c r="I51" i="63"/>
  <c r="N50" i="63"/>
  <c r="J69" i="33" s="1"/>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65" i="33" s="1"/>
  <c r="J46" i="63"/>
  <c r="M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M40" i="63"/>
  <c r="L40" i="63"/>
  <c r="K40" i="63"/>
  <c r="N40" i="63" s="1"/>
  <c r="J59" i="3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55" i="33" s="1"/>
  <c r="J36" i="63"/>
  <c r="I36" i="63"/>
  <c r="T35" i="63"/>
  <c r="N35" i="63"/>
  <c r="J54" i="33" s="1"/>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AA16" i="63"/>
  <c r="N16" i="63" s="1"/>
  <c r="N14" i="63"/>
  <c r="M13" i="63"/>
  <c r="AA12" i="63"/>
  <c r="N12" i="63" s="1"/>
  <c r="M12" i="63"/>
  <c r="M11" i="63"/>
  <c r="N3" i="63"/>
  <c r="C34" i="62"/>
  <c r="E32" i="62"/>
  <c r="C32" i="62" s="1"/>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E5" i="54"/>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F29" i="51" s="1"/>
  <c r="G52" i="51"/>
  <c r="I51" i="51"/>
  <c r="H51" i="51"/>
  <c r="G51" i="51"/>
  <c r="I50" i="51"/>
  <c r="I49" i="51"/>
  <c r="I48" i="51"/>
  <c r="J47" i="51"/>
  <c r="I47" i="51"/>
  <c r="J46" i="51"/>
  <c r="I46" i="51"/>
  <c r="K45" i="51"/>
  <c r="I45" i="51"/>
  <c r="G44" i="51"/>
  <c r="G48" i="51" s="1"/>
  <c r="G36" i="51"/>
  <c r="E31" i="62" s="1"/>
  <c r="C31" i="62" s="1"/>
  <c r="F36" i="51"/>
  <c r="AA13" i="63" s="1"/>
  <c r="N13" i="63" s="1"/>
  <c r="F32" i="51"/>
  <c r="E32" i="51"/>
  <c r="E29"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H19" i="45"/>
  <c r="G19" i="45"/>
  <c r="F19" i="45"/>
  <c r="I18" i="45"/>
  <c r="I17" i="45"/>
  <c r="E17" i="45"/>
  <c r="I16" i="45"/>
  <c r="E16" i="45"/>
  <c r="E15" i="45"/>
  <c r="H14" i="45"/>
  <c r="G14" i="45"/>
  <c r="G11" i="45"/>
  <c r="G10" i="45"/>
  <c r="G9" i="45"/>
  <c r="D6"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F5"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E128" i="33"/>
  <c r="F127" i="33"/>
  <c r="E127" i="33"/>
  <c r="J126" i="33"/>
  <c r="F126" i="33"/>
  <c r="E126" i="33"/>
  <c r="E124" i="33"/>
  <c r="J123" i="33"/>
  <c r="F123" i="33"/>
  <c r="E121" i="33"/>
  <c r="J120" i="33"/>
  <c r="F120" i="33"/>
  <c r="E120" i="33"/>
  <c r="E118" i="33"/>
  <c r="J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E99" i="33"/>
  <c r="J98" i="33"/>
  <c r="F98" i="33"/>
  <c r="E98" i="33"/>
  <c r="J97" i="33"/>
  <c r="F97" i="33"/>
  <c r="E97" i="33"/>
  <c r="J96" i="33"/>
  <c r="F96" i="33"/>
  <c r="E96" i="33"/>
  <c r="F95" i="33"/>
  <c r="E95" i="33"/>
  <c r="J94" i="33"/>
  <c r="F94" i="33"/>
  <c r="E94" i="33"/>
  <c r="J93" i="33"/>
  <c r="F93" i="33"/>
  <c r="J92" i="33"/>
  <c r="F92" i="33"/>
  <c r="E92" i="33"/>
  <c r="J91" i="33"/>
  <c r="E91" i="33"/>
  <c r="J90" i="33"/>
  <c r="F90" i="33"/>
  <c r="E90" i="33"/>
  <c r="J89" i="33"/>
  <c r="F89" i="33"/>
  <c r="E89" i="33"/>
  <c r="J88" i="33"/>
  <c r="F88" i="33"/>
  <c r="E88" i="33"/>
  <c r="I87" i="33"/>
  <c r="H87" i="33"/>
  <c r="F87" i="33"/>
  <c r="E87" i="33"/>
  <c r="J86" i="33"/>
  <c r="F86" i="33"/>
  <c r="E86" i="33"/>
  <c r="J85" i="33"/>
  <c r="F85" i="33"/>
  <c r="E85" i="33"/>
  <c r="J84" i="33"/>
  <c r="F84" i="33"/>
  <c r="E84" i="33"/>
  <c r="J83" i="33"/>
  <c r="F83" i="33"/>
  <c r="E83" i="33"/>
  <c r="F82" i="33"/>
  <c r="E82" i="33"/>
  <c r="J81" i="33"/>
  <c r="F81" i="33"/>
  <c r="E81" i="33"/>
  <c r="J80" i="33"/>
  <c r="F80" i="33"/>
  <c r="J79" i="33"/>
  <c r="F79" i="33"/>
  <c r="E79" i="33"/>
  <c r="J78" i="33"/>
  <c r="F78" i="33"/>
  <c r="E78" i="33"/>
  <c r="J77" i="33"/>
  <c r="E77" i="33"/>
  <c r="J76" i="33"/>
  <c r="F76" i="33"/>
  <c r="E76" i="33"/>
  <c r="J75" i="33"/>
  <c r="F75" i="33"/>
  <c r="E75" i="33"/>
  <c r="F74" i="33"/>
  <c r="E74" i="33"/>
  <c r="J73" i="33"/>
  <c r="F73" i="33"/>
  <c r="E73" i="33"/>
  <c r="J72" i="33"/>
  <c r="F72" i="33"/>
  <c r="K70" i="33"/>
  <c r="E70" i="33"/>
  <c r="K69" i="33"/>
  <c r="I69" i="33"/>
  <c r="H69" i="33"/>
  <c r="F69" i="33"/>
  <c r="E69" i="33"/>
  <c r="L68" i="33"/>
  <c r="J68" i="33"/>
  <c r="F68" i="33"/>
  <c r="E68" i="33"/>
  <c r="K68" i="33" s="1"/>
  <c r="J67" i="33"/>
  <c r="F67" i="33"/>
  <c r="E67" i="33"/>
  <c r="K67" i="33" s="1"/>
  <c r="L66" i="33"/>
  <c r="J66" i="33"/>
  <c r="F66" i="33"/>
  <c r="E66" i="33"/>
  <c r="K66" i="33" s="1"/>
  <c r="F65" i="33"/>
  <c r="E65" i="33"/>
  <c r="K65" i="33" s="1"/>
  <c r="J64" i="33"/>
  <c r="F64" i="33"/>
  <c r="E64" i="33"/>
  <c r="K64" i="33" s="1"/>
  <c r="J63" i="33"/>
  <c r="F63" i="33"/>
  <c r="E63" i="33"/>
  <c r="K63" i="33" s="1"/>
  <c r="J62" i="33"/>
  <c r="F62" i="33"/>
  <c r="E62" i="33"/>
  <c r="K62" i="33" s="1"/>
  <c r="J61" i="33"/>
  <c r="F61" i="33"/>
  <c r="E61" i="33"/>
  <c r="K61" i="33" s="1"/>
  <c r="J60" i="33"/>
  <c r="F60" i="33"/>
  <c r="E60" i="33"/>
  <c r="K60" i="33" s="1"/>
  <c r="F59" i="33"/>
  <c r="E59" i="33"/>
  <c r="K59" i="33" s="1"/>
  <c r="J58" i="33"/>
  <c r="F58" i="33"/>
  <c r="E58" i="33"/>
  <c r="K58" i="33" s="1"/>
  <c r="J57" i="33"/>
  <c r="F57" i="33"/>
  <c r="E57" i="33"/>
  <c r="K57" i="33" s="1"/>
  <c r="J56" i="33"/>
  <c r="F56" i="33"/>
  <c r="E56" i="33"/>
  <c r="K56" i="33" s="1"/>
  <c r="F55" i="33"/>
  <c r="E55" i="33"/>
  <c r="K55" i="33" s="1"/>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CY285" i="27"/>
  <c r="CY284" i="27"/>
  <c r="CY283" i="27"/>
  <c r="CY282" i="27"/>
  <c r="CY281" i="27"/>
  <c r="CY280" i="27"/>
  <c r="CY279" i="27"/>
  <c r="CP279" i="27"/>
  <c r="CI279" i="27"/>
  <c r="CB279" i="27"/>
  <c r="BU279" i="27"/>
  <c r="BN279" i="27"/>
  <c r="BG279" i="27"/>
  <c r="AZ279" i="27"/>
  <c r="AS279" i="27"/>
  <c r="AL279" i="27"/>
  <c r="AE279" i="27"/>
  <c r="X279" i="27"/>
  <c r="CY278" i="27"/>
  <c r="CV278" i="27"/>
  <c r="CY277" i="27"/>
  <c r="CY276" i="27"/>
  <c r="CY275" i="27"/>
  <c r="CP275" i="27"/>
  <c r="CI275" i="27"/>
  <c r="CB275" i="27"/>
  <c r="BU275" i="27"/>
  <c r="BN275" i="27"/>
  <c r="BG275" i="27"/>
  <c r="AZ275" i="27"/>
  <c r="AS275" i="27"/>
  <c r="AL275" i="27"/>
  <c r="AE275" i="27"/>
  <c r="X275" i="27"/>
  <c r="CY274" i="27"/>
  <c r="CV274" i="27"/>
  <c r="CY273" i="27"/>
  <c r="CY272" i="27"/>
  <c r="CY271" i="27"/>
  <c r="CY270" i="27"/>
  <c r="CY269" i="27"/>
  <c r="CY268" i="27"/>
  <c r="CY267" i="27"/>
  <c r="CP267" i="27"/>
  <c r="CI267" i="27"/>
  <c r="CB267" i="27"/>
  <c r="BU267" i="27"/>
  <c r="BN267" i="27"/>
  <c r="BG267" i="27"/>
  <c r="AZ267" i="27"/>
  <c r="AS267" i="27"/>
  <c r="AL267" i="27"/>
  <c r="AE267" i="27"/>
  <c r="X267" i="27"/>
  <c r="CY266" i="27"/>
  <c r="CV266" i="27"/>
  <c r="CY265" i="27"/>
  <c r="CY264" i="27"/>
  <c r="CY263" i="27"/>
  <c r="CP263" i="27"/>
  <c r="CI263" i="27"/>
  <c r="CB263" i="27"/>
  <c r="BU263" i="27"/>
  <c r="BN263" i="27"/>
  <c r="BG263" i="27"/>
  <c r="AZ263" i="27"/>
  <c r="AS263" i="27"/>
  <c r="AL263" i="27"/>
  <c r="AE263" i="27"/>
  <c r="X263" i="27"/>
  <c r="CY262" i="27"/>
  <c r="CV262" i="27"/>
  <c r="CY261" i="27"/>
  <c r="CY260" i="27"/>
  <c r="CY259" i="27"/>
  <c r="CY258" i="27"/>
  <c r="CY257" i="27"/>
  <c r="CY256" i="27"/>
  <c r="CY255" i="27"/>
  <c r="CY254" i="27"/>
  <c r="CY253" i="27"/>
  <c r="CP253" i="27"/>
  <c r="CI253" i="27"/>
  <c r="CB253" i="27"/>
  <c r="BU253" i="27"/>
  <c r="BN253" i="27"/>
  <c r="BG253" i="27"/>
  <c r="AZ253" i="27"/>
  <c r="AS253" i="27"/>
  <c r="AL253" i="27"/>
  <c r="AE253" i="27"/>
  <c r="X253" i="27"/>
  <c r="CY252" i="27"/>
  <c r="CV252" i="27"/>
  <c r="CY251" i="27"/>
  <c r="CY250" i="27"/>
  <c r="CY249" i="27"/>
  <c r="CP249" i="27"/>
  <c r="CI249" i="27"/>
  <c r="CB249" i="27"/>
  <c r="BU249" i="27"/>
  <c r="BN249" i="27"/>
  <c r="BG249" i="27"/>
  <c r="AZ249" i="27"/>
  <c r="AS249" i="27"/>
  <c r="AL249" i="27"/>
  <c r="AE249" i="27"/>
  <c r="X249" i="27"/>
  <c r="CY248" i="27"/>
  <c r="CV248" i="27"/>
  <c r="CY247" i="27"/>
  <c r="CY246" i="27"/>
  <c r="CY245" i="27"/>
  <c r="CY244" i="27"/>
  <c r="CY243" i="27"/>
  <c r="CY242" i="27"/>
  <c r="CY241" i="27"/>
  <c r="CY240" i="27"/>
  <c r="CY239" i="27"/>
  <c r="CP239" i="27"/>
  <c r="CI239" i="27"/>
  <c r="CB239" i="27"/>
  <c r="BU239" i="27"/>
  <c r="BN239" i="27"/>
  <c r="BG239" i="27"/>
  <c r="AZ239" i="27"/>
  <c r="AS239" i="27"/>
  <c r="AL239" i="27"/>
  <c r="AE239" i="27"/>
  <c r="X239" i="27"/>
  <c r="CY238" i="27"/>
  <c r="CV238" i="27"/>
  <c r="CY237" i="27"/>
  <c r="CY236" i="27"/>
  <c r="CY235" i="27"/>
  <c r="CP235" i="27"/>
  <c r="CI235" i="27"/>
  <c r="CB235" i="27"/>
  <c r="BU235" i="27"/>
  <c r="BN235" i="27"/>
  <c r="BG235" i="27"/>
  <c r="AZ235" i="27"/>
  <c r="AS235" i="27"/>
  <c r="AL235" i="27"/>
  <c r="AE235" i="27"/>
  <c r="X235" i="27"/>
  <c r="CY234" i="27"/>
  <c r="CV234" i="27"/>
  <c r="CY233" i="27"/>
  <c r="CY232" i="27"/>
  <c r="CY231" i="27"/>
  <c r="CY230" i="27"/>
  <c r="CY229" i="27"/>
  <c r="CY228" i="27"/>
  <c r="CY227" i="27"/>
  <c r="CY226" i="27"/>
  <c r="CY225" i="27"/>
  <c r="CP225" i="27"/>
  <c r="CI225" i="27"/>
  <c r="CB225" i="27"/>
  <c r="BU225" i="27"/>
  <c r="BN225" i="27"/>
  <c r="BG225" i="27"/>
  <c r="AZ225" i="27"/>
  <c r="AS225" i="27"/>
  <c r="AL225" i="27"/>
  <c r="AE225" i="27"/>
  <c r="X225" i="27"/>
  <c r="CY224" i="27"/>
  <c r="CV224" i="27"/>
  <c r="CY223" i="27"/>
  <c r="CY222" i="27"/>
  <c r="CY221" i="27"/>
  <c r="CP221" i="27"/>
  <c r="CI221" i="27"/>
  <c r="CB221" i="27"/>
  <c r="BU221" i="27"/>
  <c r="BN221" i="27"/>
  <c r="BG221" i="27"/>
  <c r="AZ221" i="27"/>
  <c r="AS221" i="27"/>
  <c r="AL221" i="27"/>
  <c r="AE221" i="27"/>
  <c r="X221" i="27"/>
  <c r="CY220" i="27"/>
  <c r="CV220" i="27"/>
  <c r="CY219" i="27"/>
  <c r="CY218" i="27"/>
  <c r="CY217" i="27"/>
  <c r="CY216" i="27"/>
  <c r="CY215" i="27"/>
  <c r="CY214" i="27"/>
  <c r="CY213" i="27"/>
  <c r="CY212" i="27"/>
  <c r="CY211" i="27"/>
  <c r="CP211" i="27"/>
  <c r="CI211" i="27"/>
  <c r="CB211" i="27"/>
  <c r="BU211" i="27"/>
  <c r="BN211" i="27"/>
  <c r="BG211" i="27"/>
  <c r="AZ211" i="27"/>
  <c r="AS211" i="27"/>
  <c r="AL211" i="27"/>
  <c r="AE211" i="27"/>
  <c r="X211" i="27"/>
  <c r="CY210" i="27"/>
  <c r="CV210" i="27"/>
  <c r="CY209" i="27"/>
  <c r="CY208" i="27"/>
  <c r="CY207" i="27"/>
  <c r="CP207" i="27"/>
  <c r="CI207" i="27"/>
  <c r="CB207" i="27"/>
  <c r="BU207" i="27"/>
  <c r="BN207" i="27"/>
  <c r="BG207" i="27"/>
  <c r="AZ207" i="27"/>
  <c r="AS207" i="27"/>
  <c r="AL207" i="27"/>
  <c r="AE207" i="27"/>
  <c r="X207" i="27"/>
  <c r="CY206" i="27"/>
  <c r="CV206" i="27"/>
  <c r="CY205" i="27"/>
  <c r="CY204" i="27"/>
  <c r="CY203" i="27"/>
  <c r="CY202" i="27"/>
  <c r="CY201" i="27"/>
  <c r="CY200" i="27"/>
  <c r="CY199" i="27"/>
  <c r="CY198" i="27"/>
  <c r="CY197" i="27"/>
  <c r="CP197" i="27"/>
  <c r="CI197" i="27"/>
  <c r="CB197" i="27"/>
  <c r="BU197" i="27"/>
  <c r="BN197" i="27"/>
  <c r="BG197" i="27"/>
  <c r="AZ197" i="27"/>
  <c r="AS197" i="27"/>
  <c r="AL197" i="27"/>
  <c r="AE197" i="27"/>
  <c r="X197" i="27"/>
  <c r="CY196" i="27"/>
  <c r="CV196" i="27"/>
  <c r="CY195" i="27"/>
  <c r="CY194" i="27"/>
  <c r="CY193" i="27"/>
  <c r="CP193" i="27"/>
  <c r="CI193" i="27"/>
  <c r="CB193" i="27"/>
  <c r="BU193" i="27"/>
  <c r="BN193" i="27"/>
  <c r="BG193" i="27"/>
  <c r="AZ193" i="27"/>
  <c r="AS193" i="27"/>
  <c r="AL193" i="27"/>
  <c r="AE193" i="27"/>
  <c r="X193" i="27"/>
  <c r="CY192" i="27"/>
  <c r="CV192" i="27"/>
  <c r="CY191" i="27"/>
  <c r="CY190" i="27"/>
  <c r="CY189" i="27"/>
  <c r="CY188" i="27"/>
  <c r="CY187" i="27"/>
  <c r="CY186" i="27"/>
  <c r="CY185" i="27"/>
  <c r="CY184" i="27"/>
  <c r="CY183" i="27"/>
  <c r="CP183" i="27"/>
  <c r="CI183" i="27"/>
  <c r="CB183" i="27"/>
  <c r="BU183" i="27"/>
  <c r="BN183" i="27"/>
  <c r="BG183" i="27"/>
  <c r="AZ183" i="27"/>
  <c r="AS183" i="27"/>
  <c r="AL183" i="27"/>
  <c r="AE183" i="27"/>
  <c r="X183" i="27"/>
  <c r="CY182" i="27"/>
  <c r="CV182" i="27"/>
  <c r="CY181" i="27"/>
  <c r="CY180" i="27"/>
  <c r="CY179" i="27"/>
  <c r="CP179" i="27"/>
  <c r="CI179" i="27"/>
  <c r="CB179" i="27"/>
  <c r="BU179" i="27"/>
  <c r="BN179" i="27"/>
  <c r="BG179" i="27"/>
  <c r="AZ179" i="27"/>
  <c r="AS179" i="27"/>
  <c r="AL179" i="27"/>
  <c r="AE179" i="27"/>
  <c r="X179" i="27"/>
  <c r="CY178" i="27"/>
  <c r="CV178" i="27"/>
  <c r="CY177" i="27"/>
  <c r="CY176" i="27"/>
  <c r="CY175" i="27"/>
  <c r="CY174" i="27"/>
  <c r="CY173" i="27"/>
  <c r="CY172" i="27"/>
  <c r="CY171" i="27"/>
  <c r="CY170" i="27"/>
  <c r="CY169" i="27"/>
  <c r="CP169" i="27"/>
  <c r="CI169" i="27"/>
  <c r="CB169" i="27"/>
  <c r="BU169" i="27"/>
  <c r="BN169" i="27"/>
  <c r="BG169" i="27"/>
  <c r="AZ169" i="27"/>
  <c r="AS169" i="27"/>
  <c r="AL169" i="27"/>
  <c r="AE169" i="27"/>
  <c r="X169" i="27"/>
  <c r="CY168" i="27"/>
  <c r="CV168" i="27"/>
  <c r="CY167" i="27"/>
  <c r="CY166" i="27"/>
  <c r="CY165" i="27"/>
  <c r="CP165" i="27"/>
  <c r="CI165" i="27"/>
  <c r="CB165" i="27"/>
  <c r="BU165" i="27"/>
  <c r="BN165" i="27"/>
  <c r="BG165" i="27"/>
  <c r="AZ165" i="27"/>
  <c r="AS165" i="27"/>
  <c r="AL165" i="27"/>
  <c r="AE165" i="27"/>
  <c r="X165" i="27"/>
  <c r="CY164" i="27"/>
  <c r="CV164" i="27"/>
  <c r="CY163" i="27"/>
  <c r="CY162" i="27"/>
  <c r="CY161" i="27"/>
  <c r="CY160" i="27"/>
  <c r="CY159" i="27"/>
  <c r="CY158" i="27"/>
  <c r="CY157" i="27"/>
  <c r="CY156" i="27"/>
  <c r="CY155" i="27"/>
  <c r="CP155" i="27"/>
  <c r="CI155" i="27"/>
  <c r="CB155" i="27"/>
  <c r="BU155" i="27"/>
  <c r="BN155" i="27"/>
  <c r="BG155" i="27"/>
  <c r="AZ155" i="27"/>
  <c r="AS155" i="27"/>
  <c r="AL155" i="27"/>
  <c r="AE155" i="27"/>
  <c r="X155" i="27"/>
  <c r="CY154" i="27"/>
  <c r="CV154" i="27"/>
  <c r="CY153" i="27"/>
  <c r="CY152" i="27"/>
  <c r="CY151" i="27"/>
  <c r="CP151" i="27"/>
  <c r="CI151" i="27"/>
  <c r="CB151" i="27"/>
  <c r="BU151" i="27"/>
  <c r="BN151" i="27"/>
  <c r="BG151" i="27"/>
  <c r="AZ151" i="27"/>
  <c r="AS151" i="27"/>
  <c r="AL151" i="27"/>
  <c r="AE151" i="27"/>
  <c r="X151" i="27"/>
  <c r="CY150" i="27"/>
  <c r="CV150" i="27"/>
  <c r="CY149" i="27"/>
  <c r="CY148" i="27"/>
  <c r="CY147" i="27"/>
  <c r="CY146" i="27"/>
  <c r="CY145" i="27"/>
  <c r="CY144" i="27"/>
  <c r="CY143" i="27"/>
  <c r="CY142" i="27"/>
  <c r="CY141" i="27"/>
  <c r="CP141" i="27"/>
  <c r="CI141" i="27"/>
  <c r="CB141" i="27"/>
  <c r="BU141" i="27"/>
  <c r="BN141" i="27"/>
  <c r="BG141" i="27"/>
  <c r="AZ141" i="27"/>
  <c r="AS141" i="27"/>
  <c r="AL141" i="27"/>
  <c r="AE141" i="27"/>
  <c r="X141" i="27"/>
  <c r="CY140" i="27"/>
  <c r="CV140" i="27"/>
  <c r="CY139" i="27"/>
  <c r="CY138" i="27"/>
  <c r="CY137" i="27"/>
  <c r="CP137" i="27"/>
  <c r="CI137" i="27"/>
  <c r="CB137" i="27"/>
  <c r="BU137" i="27"/>
  <c r="BN137" i="27"/>
  <c r="BG137" i="27"/>
  <c r="AZ137" i="27"/>
  <c r="AS137" i="27"/>
  <c r="AL137" i="27"/>
  <c r="AE137" i="27"/>
  <c r="X137" i="27"/>
  <c r="CY136" i="27"/>
  <c r="CV136" i="27"/>
  <c r="CY135" i="27"/>
  <c r="CY134" i="27"/>
  <c r="CY133" i="27"/>
  <c r="CY132" i="27"/>
  <c r="CY131" i="27"/>
  <c r="CY130" i="27"/>
  <c r="CY129" i="27"/>
  <c r="CP129" i="27"/>
  <c r="CI129" i="27"/>
  <c r="CB129" i="27"/>
  <c r="BU129" i="27"/>
  <c r="BN129" i="27"/>
  <c r="BG129" i="27"/>
  <c r="AZ129" i="27"/>
  <c r="AS129" i="27"/>
  <c r="AL129" i="27"/>
  <c r="AE129" i="27"/>
  <c r="X129" i="27"/>
  <c r="CY128" i="27"/>
  <c r="CV128" i="27"/>
  <c r="CY127" i="27"/>
  <c r="CY126" i="27"/>
  <c r="CY125" i="27"/>
  <c r="CP125" i="27"/>
  <c r="CI125" i="27"/>
  <c r="CB125" i="27"/>
  <c r="BU125" i="27"/>
  <c r="BN125" i="27"/>
  <c r="BG125" i="27"/>
  <c r="AZ125" i="27"/>
  <c r="AS125" i="27"/>
  <c r="AL125" i="27"/>
  <c r="AE125" i="27"/>
  <c r="X125" i="27"/>
  <c r="CY124" i="27"/>
  <c r="CV124" i="27"/>
  <c r="CY123" i="27"/>
  <c r="CY122" i="27"/>
  <c r="CY121" i="27"/>
  <c r="CY120" i="27"/>
  <c r="CY119" i="27"/>
  <c r="CY118" i="27"/>
  <c r="CY117" i="27"/>
  <c r="CP117" i="27"/>
  <c r="CI117" i="27"/>
  <c r="CB117" i="27"/>
  <c r="BU117" i="27"/>
  <c r="BN117" i="27"/>
  <c r="BG117" i="27"/>
  <c r="AZ117" i="27"/>
  <c r="AS117" i="27"/>
  <c r="AL117" i="27"/>
  <c r="AE117" i="27"/>
  <c r="X117" i="27"/>
  <c r="CY116" i="27"/>
  <c r="CV116" i="27"/>
  <c r="CY115" i="27"/>
  <c r="CY114" i="27"/>
  <c r="CY113" i="27"/>
  <c r="CP113" i="27"/>
  <c r="CI113" i="27"/>
  <c r="CB113" i="27"/>
  <c r="BU113" i="27"/>
  <c r="BN113" i="27"/>
  <c r="BG113" i="27"/>
  <c r="AZ113" i="27"/>
  <c r="AS113" i="27"/>
  <c r="AL113" i="27"/>
  <c r="AE113" i="27"/>
  <c r="X113" i="27"/>
  <c r="CY112" i="27"/>
  <c r="CV112" i="27"/>
  <c r="CY111" i="27"/>
  <c r="CY110" i="27"/>
  <c r="CY109" i="27"/>
  <c r="CY108" i="27"/>
  <c r="CY107" i="27"/>
  <c r="CY106" i="27"/>
  <c r="CY105" i="27"/>
  <c r="CP105" i="27"/>
  <c r="CI105" i="27"/>
  <c r="CB105" i="27"/>
  <c r="BU105" i="27"/>
  <c r="BN105" i="27"/>
  <c r="BG105" i="27"/>
  <c r="AZ105" i="27"/>
  <c r="AS105" i="27"/>
  <c r="AL105" i="27"/>
  <c r="AE105" i="27"/>
  <c r="X105" i="27"/>
  <c r="CY104" i="27"/>
  <c r="CV104" i="27"/>
  <c r="CY103" i="27"/>
  <c r="CY102" i="27"/>
  <c r="CY101" i="27"/>
  <c r="CP101" i="27"/>
  <c r="CI101" i="27"/>
  <c r="CB101" i="27"/>
  <c r="BU101" i="27"/>
  <c r="BN101" i="27"/>
  <c r="BG101" i="27"/>
  <c r="AZ101" i="27"/>
  <c r="AS101" i="27"/>
  <c r="AL101" i="27"/>
  <c r="AE101" i="27"/>
  <c r="X101" i="27"/>
  <c r="CY100" i="27"/>
  <c r="CV100" i="27"/>
  <c r="CY99" i="27"/>
  <c r="CY98" i="27"/>
  <c r="CY97" i="27"/>
  <c r="CY96" i="27"/>
  <c r="CY95" i="27"/>
  <c r="CY94" i="27"/>
  <c r="CY93" i="27"/>
  <c r="CP93" i="27"/>
  <c r="CI93" i="27"/>
  <c r="CB93" i="27"/>
  <c r="BU93" i="27"/>
  <c r="BN93" i="27"/>
  <c r="BG93" i="27"/>
  <c r="AZ93" i="27"/>
  <c r="AS93" i="27"/>
  <c r="AL93" i="27"/>
  <c r="AE93" i="27"/>
  <c r="X93" i="27"/>
  <c r="CY92" i="27"/>
  <c r="CV92" i="27"/>
  <c r="CY91" i="27"/>
  <c r="CY90" i="27"/>
  <c r="CY89" i="27"/>
  <c r="CP89" i="27"/>
  <c r="CI89" i="27"/>
  <c r="CB89" i="27"/>
  <c r="BU89" i="27"/>
  <c r="BN89" i="27"/>
  <c r="BG89" i="27"/>
  <c r="AZ89" i="27"/>
  <c r="AS89" i="27"/>
  <c r="AL89" i="27"/>
  <c r="AE89" i="27"/>
  <c r="X89" i="27"/>
  <c r="CY88" i="27"/>
  <c r="CV88" i="27"/>
  <c r="CY87" i="27"/>
  <c r="CY86" i="27"/>
  <c r="CY85" i="27"/>
  <c r="CY84" i="27"/>
  <c r="CY83" i="27"/>
  <c r="CY82" i="27"/>
  <c r="CY81" i="27"/>
  <c r="CY80" i="27"/>
  <c r="CY79" i="27"/>
  <c r="CP79" i="27"/>
  <c r="CI79" i="27"/>
  <c r="CB79" i="27"/>
  <c r="BU79" i="27"/>
  <c r="BN79" i="27"/>
  <c r="BG79" i="27"/>
  <c r="AZ79" i="27"/>
  <c r="AS79" i="27"/>
  <c r="AL79" i="27"/>
  <c r="AE79" i="27"/>
  <c r="X79" i="27"/>
  <c r="CY78" i="27"/>
  <c r="CV78" i="27"/>
  <c r="CY77" i="27"/>
  <c r="CY76" i="27"/>
  <c r="CY75" i="27"/>
  <c r="CP75" i="27"/>
  <c r="CI75" i="27"/>
  <c r="CB75" i="27"/>
  <c r="BU75" i="27"/>
  <c r="BN75" i="27"/>
  <c r="BG75" i="27"/>
  <c r="AZ75" i="27"/>
  <c r="AS75" i="27"/>
  <c r="AL75" i="27"/>
  <c r="AE75" i="27"/>
  <c r="X75" i="27"/>
  <c r="CY74" i="27"/>
  <c r="CV74" i="27"/>
  <c r="CY73" i="27"/>
  <c r="CY72" i="27"/>
  <c r="CY71" i="27"/>
  <c r="CY70" i="27"/>
  <c r="CY69" i="27"/>
  <c r="CY68" i="27"/>
  <c r="CY67" i="27"/>
  <c r="CY66" i="27"/>
  <c r="CY65" i="27"/>
  <c r="CP65" i="27"/>
  <c r="CI65" i="27"/>
  <c r="CB65" i="27"/>
  <c r="BU65" i="27"/>
  <c r="BN65" i="27"/>
  <c r="BG65" i="27"/>
  <c r="AZ65" i="27"/>
  <c r="AS65" i="27"/>
  <c r="AL65" i="27"/>
  <c r="AE65" i="27"/>
  <c r="X65" i="27"/>
  <c r="CY64" i="27"/>
  <c r="CV64" i="27"/>
  <c r="CY63" i="27"/>
  <c r="CY62" i="27"/>
  <c r="CY61" i="27"/>
  <c r="CP61" i="27"/>
  <c r="CI61" i="27"/>
  <c r="CB61" i="27"/>
  <c r="BU61" i="27"/>
  <c r="BN61" i="27"/>
  <c r="BG61" i="27"/>
  <c r="AZ61" i="27"/>
  <c r="AS61" i="27"/>
  <c r="AL61" i="27"/>
  <c r="AE61" i="27"/>
  <c r="X61" i="27"/>
  <c r="CY60" i="27"/>
  <c r="CV60" i="27"/>
  <c r="CY59" i="27"/>
  <c r="CY58" i="27"/>
  <c r="CY57" i="27"/>
  <c r="CY56" i="27"/>
  <c r="CY55" i="27"/>
  <c r="CY54" i="27"/>
  <c r="CY53" i="27"/>
  <c r="CY52" i="27"/>
  <c r="CY51" i="27"/>
  <c r="CP51" i="27"/>
  <c r="CI51" i="27"/>
  <c r="CB51" i="27"/>
  <c r="BU51" i="27"/>
  <c r="BN51" i="27"/>
  <c r="BG51" i="27"/>
  <c r="AZ51" i="27"/>
  <c r="AS51" i="27"/>
  <c r="AL51" i="27"/>
  <c r="AE51" i="27"/>
  <c r="X51" i="27"/>
  <c r="CY50" i="27"/>
  <c r="CV50" i="27"/>
  <c r="CY49" i="27"/>
  <c r="CY48" i="27"/>
  <c r="CY47" i="27"/>
  <c r="CP47" i="27"/>
  <c r="CI47" i="27"/>
  <c r="CB47" i="27"/>
  <c r="BU47" i="27"/>
  <c r="BN47" i="27"/>
  <c r="BG47" i="27"/>
  <c r="AZ47" i="27"/>
  <c r="AS47" i="27"/>
  <c r="AL47" i="27"/>
  <c r="AE47" i="27"/>
  <c r="X47" i="27"/>
  <c r="CY46" i="27"/>
  <c r="CV46" i="27"/>
  <c r="CY45" i="27"/>
  <c r="CY44" i="27"/>
  <c r="CY43" i="27"/>
  <c r="CY42" i="27"/>
  <c r="CY41" i="27"/>
  <c r="CV41" i="27"/>
  <c r="V40" i="27"/>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CI40" i="27" s="1"/>
  <c r="CJ40" i="27" s="1"/>
  <c r="CK40" i="27" s="1"/>
  <c r="CM40" i="27" s="1"/>
  <c r="CN40" i="27" s="1"/>
  <c r="CO40" i="27" s="1"/>
  <c r="CP40" i="27" s="1"/>
  <c r="CQ40" i="27" s="1"/>
  <c r="CR40" i="27" s="1"/>
  <c r="CT40" i="27" s="1"/>
  <c r="CU40" i="27" s="1"/>
  <c r="CV40" i="27" s="1"/>
  <c r="U40" i="27"/>
  <c r="CN33" i="27"/>
  <c r="CG33" i="27"/>
  <c r="BZ33" i="27"/>
  <c r="BS33" i="27"/>
  <c r="BL33" i="27"/>
  <c r="BE33" i="27"/>
  <c r="AX33" i="27"/>
  <c r="AQ33" i="27"/>
  <c r="AJ33" i="27"/>
  <c r="AC33" i="27"/>
  <c r="V33" i="27"/>
  <c r="CN32" i="27"/>
  <c r="CG32" i="27"/>
  <c r="BZ32" i="27"/>
  <c r="BS32" i="27"/>
  <c r="BL32" i="27"/>
  <c r="BE32" i="27"/>
  <c r="AX32" i="27"/>
  <c r="AQ32" i="27"/>
  <c r="AJ32" i="27"/>
  <c r="AC32" i="27"/>
  <c r="V32" i="27"/>
  <c r="CN30" i="27"/>
  <c r="CG30" i="27"/>
  <c r="BZ30" i="27"/>
  <c r="BS30" i="27"/>
  <c r="BL30" i="27"/>
  <c r="BE30" i="27"/>
  <c r="AX30" i="27"/>
  <c r="AQ30" i="27"/>
  <c r="AJ30" i="27"/>
  <c r="AC30" i="27"/>
  <c r="V30" i="27"/>
  <c r="CN29" i="27"/>
  <c r="CG29" i="27"/>
  <c r="BZ29" i="27"/>
  <c r="BS29" i="27"/>
  <c r="BL29" i="27"/>
  <c r="BE29" i="27"/>
  <c r="AX29" i="27"/>
  <c r="AQ29" i="27"/>
  <c r="AJ29" i="27"/>
  <c r="AC29" i="27"/>
  <c r="V29" i="27"/>
  <c r="CN28" i="27"/>
  <c r="CG28" i="27"/>
  <c r="BZ28" i="27"/>
  <c r="BS28" i="27"/>
  <c r="BL28" i="27"/>
  <c r="BE28" i="27"/>
  <c r="AX28" i="27"/>
  <c r="AQ28" i="27"/>
  <c r="AJ28" i="27"/>
  <c r="AC28" i="27"/>
  <c r="V28" i="27"/>
  <c r="CN27" i="27"/>
  <c r="CG27" i="27"/>
  <c r="BZ27" i="27"/>
  <c r="BS27" i="27"/>
  <c r="BL27" i="27"/>
  <c r="BE27" i="27"/>
  <c r="AX27" i="27"/>
  <c r="AQ27" i="27"/>
  <c r="AJ27" i="27"/>
  <c r="AC27" i="27"/>
  <c r="V27" i="27"/>
  <c r="S25" i="27"/>
  <c r="S24" i="27"/>
  <c r="AE16" i="27"/>
  <c r="CY13" i="27"/>
  <c r="CY12" i="27"/>
  <c r="CY11" i="27"/>
  <c r="CY10" i="27"/>
  <c r="CY9" i="27"/>
  <c r="CY8" i="27"/>
  <c r="CP8" i="27"/>
  <c r="CI8" i="27"/>
  <c r="CB8" i="27"/>
  <c r="BU8" i="27"/>
  <c r="BN8" i="27"/>
  <c r="BG8" i="27"/>
  <c r="AZ8" i="27"/>
  <c r="AS8" i="27"/>
  <c r="AL8" i="27"/>
  <c r="AE8" i="27"/>
  <c r="X8" i="27"/>
  <c r="CY7" i="27"/>
  <c r="CV7" i="27"/>
  <c r="CY6" i="27"/>
  <c r="CY5" i="27"/>
  <c r="I5" i="27"/>
  <c r="S5" i="27" s="1"/>
  <c r="CY4" i="27"/>
  <c r="AC4" i="27"/>
  <c r="S4" i="27"/>
  <c r="CY3" i="27"/>
  <c r="AC3" i="27"/>
  <c r="S3" i="27"/>
  <c r="CY2" i="27"/>
  <c r="CV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77" i="5"/>
  <c r="AP177" i="5"/>
  <c r="S48" i="29" s="1"/>
  <c r="K52" i="29" s="1"/>
  <c r="S52" i="29" s="1"/>
  <c r="AO177" i="5"/>
  <c r="S47" i="29" s="1"/>
  <c r="AN177" i="5"/>
  <c r="S46" i="29" s="1"/>
  <c r="AM177" i="5"/>
  <c r="AL177" i="5"/>
  <c r="AD48" i="29" s="1"/>
  <c r="AK177" i="5"/>
  <c r="AD47" i="29" s="1"/>
  <c r="AJ177" i="5"/>
  <c r="AI177" i="5"/>
  <c r="AH177" i="5"/>
  <c r="AQ172" i="5"/>
  <c r="AP172" i="5"/>
  <c r="S43" i="28" s="1"/>
  <c r="I44" i="28" s="1"/>
  <c r="AO172" i="5"/>
  <c r="S42" i="28" s="1"/>
  <c r="AN172" i="5"/>
  <c r="S41" i="28" s="1"/>
  <c r="AM172" i="5"/>
  <c r="AL172" i="5"/>
  <c r="AC43" i="28" s="1"/>
  <c r="AK172" i="5"/>
  <c r="AC42" i="28" s="1"/>
  <c r="AJ172" i="5"/>
  <c r="AI172" i="5"/>
  <c r="AH172" i="5"/>
  <c r="AP167" i="5"/>
  <c r="S271" i="27" s="1"/>
  <c r="I272" i="27" s="1"/>
  <c r="AO167" i="5"/>
  <c r="AN167" i="5"/>
  <c r="AL167" i="5"/>
  <c r="AC271" i="27" s="1"/>
  <c r="AJ167" i="5"/>
  <c r="AH167" i="5"/>
  <c r="AP165" i="5"/>
  <c r="S259" i="27" s="1"/>
  <c r="I260" i="27" s="1"/>
  <c r="AO165" i="5"/>
  <c r="S258" i="27" s="1"/>
  <c r="AN165" i="5"/>
  <c r="AL165" i="5"/>
  <c r="AC259" i="27" s="1"/>
  <c r="AJ165" i="5"/>
  <c r="AH165" i="5"/>
  <c r="AP162" i="5"/>
  <c r="S245" i="27" s="1"/>
  <c r="I246" i="27" s="1"/>
  <c r="AO162" i="5"/>
  <c r="S244" i="27" s="1"/>
  <c r="AN162" i="5"/>
  <c r="AL162" i="5"/>
  <c r="AC245" i="27" s="1"/>
  <c r="AJ162" i="5"/>
  <c r="AH162" i="5"/>
  <c r="AP159" i="5"/>
  <c r="S231" i="27" s="1"/>
  <c r="I232" i="27" s="1"/>
  <c r="AO159" i="5"/>
  <c r="S230" i="27" s="1"/>
  <c r="AN159" i="5"/>
  <c r="AL159" i="5"/>
  <c r="AC231" i="27" s="1"/>
  <c r="AJ159" i="5"/>
  <c r="AH159" i="5"/>
  <c r="AP156" i="5"/>
  <c r="S217" i="27" s="1"/>
  <c r="I218" i="27" s="1"/>
  <c r="AO156" i="5"/>
  <c r="S216" i="27" s="1"/>
  <c r="AN156" i="5"/>
  <c r="AL156" i="5"/>
  <c r="AC217" i="27" s="1"/>
  <c r="AJ156" i="5"/>
  <c r="AI156" i="5"/>
  <c r="AH156" i="5"/>
  <c r="AP153" i="5"/>
  <c r="S203" i="27" s="1"/>
  <c r="I204" i="27" s="1"/>
  <c r="AO153" i="5"/>
  <c r="S202" i="27" s="1"/>
  <c r="AN153" i="5"/>
  <c r="AL153" i="5"/>
  <c r="AC203" i="27" s="1"/>
  <c r="AJ153" i="5"/>
  <c r="AH153" i="5"/>
  <c r="AP150" i="5"/>
  <c r="S189" i="27" s="1"/>
  <c r="I190" i="27" s="1"/>
  <c r="AO150" i="5"/>
  <c r="S188" i="27" s="1"/>
  <c r="AN150" i="5"/>
  <c r="AL150" i="5"/>
  <c r="AC189" i="27" s="1"/>
  <c r="AJ150" i="5"/>
  <c r="AH150" i="5"/>
  <c r="AP147" i="5"/>
  <c r="S175" i="27" s="1"/>
  <c r="I176" i="27" s="1"/>
  <c r="AO147" i="5"/>
  <c r="S174" i="27" s="1"/>
  <c r="AN147" i="5"/>
  <c r="AL147" i="5"/>
  <c r="AC175" i="27" s="1"/>
  <c r="AJ147" i="5"/>
  <c r="AH147" i="5"/>
  <c r="AP144" i="5"/>
  <c r="S161" i="27" s="1"/>
  <c r="I162" i="27" s="1"/>
  <c r="AO144" i="5"/>
  <c r="S160" i="27" s="1"/>
  <c r="AN144" i="5"/>
  <c r="AL144" i="5"/>
  <c r="AC161" i="27" s="1"/>
  <c r="AJ144" i="5"/>
  <c r="AI144" i="5"/>
  <c r="AH144" i="5"/>
  <c r="AP141" i="5"/>
  <c r="S147" i="27" s="1"/>
  <c r="I148" i="27" s="1"/>
  <c r="AO141" i="5"/>
  <c r="S146" i="27" s="1"/>
  <c r="AN141" i="5"/>
  <c r="AL141" i="5"/>
  <c r="AC147" i="27" s="1"/>
  <c r="AJ141" i="5"/>
  <c r="AH141" i="5"/>
  <c r="AP138" i="5"/>
  <c r="S133" i="27" s="1"/>
  <c r="I134" i="27" s="1"/>
  <c r="AO138" i="5"/>
  <c r="AN138" i="5"/>
  <c r="AL138" i="5"/>
  <c r="AC133" i="27" s="1"/>
  <c r="AJ138" i="5"/>
  <c r="AH138" i="5"/>
  <c r="AP136" i="5"/>
  <c r="S121" i="27" s="1"/>
  <c r="I122" i="27" s="1"/>
  <c r="AO136" i="5"/>
  <c r="AN136" i="5"/>
  <c r="AL136" i="5"/>
  <c r="AC121" i="27" s="1"/>
  <c r="AJ136" i="5"/>
  <c r="AH136" i="5"/>
  <c r="AP134" i="5"/>
  <c r="S109" i="27" s="1"/>
  <c r="I110" i="27" s="1"/>
  <c r="AO134" i="5"/>
  <c r="AN134" i="5"/>
  <c r="AL134" i="5"/>
  <c r="AC109" i="27" s="1"/>
  <c r="AJ134" i="5"/>
  <c r="AH134" i="5"/>
  <c r="AP132" i="5"/>
  <c r="S97" i="27" s="1"/>
  <c r="I98" i="27" s="1"/>
  <c r="AO132" i="5"/>
  <c r="AN132" i="5"/>
  <c r="AL132" i="5"/>
  <c r="AC97" i="27" s="1"/>
  <c r="AJ132" i="5"/>
  <c r="AH132" i="5"/>
  <c r="AP130" i="5"/>
  <c r="S85" i="27" s="1"/>
  <c r="I86" i="27" s="1"/>
  <c r="AO130" i="5"/>
  <c r="S84" i="27" s="1"/>
  <c r="AN130" i="5"/>
  <c r="AL130" i="5"/>
  <c r="AC85" i="27" s="1"/>
  <c r="AJ130" i="5"/>
  <c r="AH130" i="5"/>
  <c r="AP127" i="5"/>
  <c r="S71" i="27" s="1"/>
  <c r="I72" i="27" s="1"/>
  <c r="AO127" i="5"/>
  <c r="S70" i="27" s="1"/>
  <c r="AN127" i="5"/>
  <c r="AL127" i="5"/>
  <c r="AC71" i="27" s="1"/>
  <c r="AJ127" i="5"/>
  <c r="AI127" i="5"/>
  <c r="AH127" i="5"/>
  <c r="AP124" i="5"/>
  <c r="S57" i="27" s="1"/>
  <c r="I58" i="27" s="1"/>
  <c r="AO124" i="5"/>
  <c r="S56" i="27" s="1"/>
  <c r="AN124" i="5"/>
  <c r="AL124" i="5"/>
  <c r="AC57" i="27" s="1"/>
  <c r="AJ124" i="5"/>
  <c r="AI124" i="5"/>
  <c r="AH124" i="5"/>
  <c r="AQ121" i="5"/>
  <c r="AP121" i="5"/>
  <c r="S43" i="27" s="1"/>
  <c r="I44" i="27" s="1"/>
  <c r="AO121" i="5"/>
  <c r="S42" i="27" s="1"/>
  <c r="AN121" i="5"/>
  <c r="S41" i="27" s="1"/>
  <c r="AM121" i="5"/>
  <c r="AL121" i="5"/>
  <c r="AC43" i="27" s="1"/>
  <c r="AJ121" i="5"/>
  <c r="AI121" i="5"/>
  <c r="AH121" i="5"/>
  <c r="G121" i="5"/>
  <c r="AI167" i="5"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49" i="3"/>
  <c r="M49" i="3" a="1"/>
  <c r="M49" i="3"/>
  <c r="E49" i="3"/>
  <c r="E48" i="3"/>
  <c r="G48" i="3" s="1"/>
  <c r="N165" i="5" s="1"/>
  <c r="O46" i="3"/>
  <c r="M46" i="3" a="1"/>
  <c r="M46" i="3"/>
  <c r="E46" i="3"/>
  <c r="G45" i="3"/>
  <c r="N162" i="5" s="1"/>
  <c r="AK162" i="5" s="1"/>
  <c r="AC244" i="27" s="1"/>
  <c r="E45" i="3"/>
  <c r="O43" i="3"/>
  <c r="M43" i="3" a="1"/>
  <c r="M43" i="3"/>
  <c r="E43" i="3"/>
  <c r="E42" i="3"/>
  <c r="G42" i="3" s="1"/>
  <c r="N159" i="5" s="1"/>
  <c r="AK159" i="5" s="1"/>
  <c r="AC230" i="27" s="1"/>
  <c r="O40" i="3"/>
  <c r="M40" i="3" a="1"/>
  <c r="M40" i="3"/>
  <c r="E40" i="3"/>
  <c r="G39" i="3"/>
  <c r="N156" i="5" s="1"/>
  <c r="AK156" i="5" s="1"/>
  <c r="AC216" i="27" s="1"/>
  <c r="E39" i="3"/>
  <c r="O37" i="3"/>
  <c r="M37" i="3" a="1"/>
  <c r="M37" i="3"/>
  <c r="E37" i="3"/>
  <c r="E36" i="3"/>
  <c r="G36" i="3" s="1"/>
  <c r="N153" i="5" s="1"/>
  <c r="AK153" i="5" s="1"/>
  <c r="AC202" i="27" s="1"/>
  <c r="O34" i="3"/>
  <c r="M34" i="3" a="1"/>
  <c r="M34" i="3" s="1"/>
  <c r="E34" i="3"/>
  <c r="G33" i="3"/>
  <c r="N150" i="5" s="1"/>
  <c r="AK150" i="5" s="1"/>
  <c r="AC188" i="27" s="1"/>
  <c r="E33" i="3"/>
  <c r="O31" i="3"/>
  <c r="M31" i="3" a="1"/>
  <c r="M31" i="3"/>
  <c r="E31" i="3"/>
  <c r="E30" i="3"/>
  <c r="G30" i="3" s="1"/>
  <c r="N147" i="5" s="1"/>
  <c r="AK147" i="5" s="1"/>
  <c r="AC174" i="27" s="1"/>
  <c r="O28" i="3"/>
  <c r="M28" i="3" a="1"/>
  <c r="M28" i="3" s="1"/>
  <c r="E28" i="3"/>
  <c r="G27" i="3"/>
  <c r="N144" i="5" s="1"/>
  <c r="AK144" i="5" s="1"/>
  <c r="AC160" i="27" s="1"/>
  <c r="E27" i="3"/>
  <c r="O25" i="3"/>
  <c r="M25" i="3" a="1"/>
  <c r="M25" i="3"/>
  <c r="E25" i="3"/>
  <c r="E24" i="3"/>
  <c r="G24" i="3" s="1"/>
  <c r="N141" i="5" s="1"/>
  <c r="AK141" i="5" s="1"/>
  <c r="AC146" i="27" s="1"/>
  <c r="O22" i="3"/>
  <c r="M22" i="3" a="1"/>
  <c r="M22" i="3" s="1"/>
  <c r="E22" i="3"/>
  <c r="G21" i="3"/>
  <c r="N130" i="5" s="1"/>
  <c r="E21" i="3"/>
  <c r="O19" i="3"/>
  <c r="M19" i="3" a="1"/>
  <c r="M19" i="3"/>
  <c r="E19" i="3"/>
  <c r="E18" i="3"/>
  <c r="G18" i="3" s="1"/>
  <c r="N127" i="5" s="1"/>
  <c r="AK127" i="5" s="1"/>
  <c r="AC70" i="27" s="1"/>
  <c r="O16" i="3"/>
  <c r="M16" i="3" a="1"/>
  <c r="M16" i="3" s="1"/>
  <c r="E16" i="3"/>
  <c r="G15" i="3"/>
  <c r="N124" i="5" s="1"/>
  <c r="AK124" i="5" s="1"/>
  <c r="AC56" i="27" s="1"/>
  <c r="E15" i="3"/>
  <c r="O13" i="3"/>
  <c r="M13" i="3" a="1"/>
  <c r="M13" i="3"/>
  <c r="E13" i="3"/>
  <c r="E12" i="3"/>
  <c r="G12" i="3" s="1"/>
  <c r="N121" i="5" s="1"/>
  <c r="AK121" i="5" s="1"/>
  <c r="AC42" i="27" s="1"/>
  <c r="E4" i="3"/>
  <c r="E59" i="2"/>
  <c r="E49" i="2"/>
  <c r="E41" i="2"/>
  <c r="E31" i="2"/>
  <c r="E27" i="2"/>
  <c r="E26" i="2"/>
  <c r="F25" i="2"/>
  <c r="E22" i="2"/>
  <c r="E21" i="2"/>
  <c r="F20" i="2"/>
  <c r="E19" i="2"/>
  <c r="I9" i="2"/>
  <c r="E3" i="2"/>
  <c r="E2" i="2"/>
  <c r="Y25" i="64"/>
  <c r="M10" i="54"/>
  <c r="M10" i="55"/>
  <c r="M2" i="55"/>
  <c r="M2" i="54"/>
  <c r="AT7" i="30"/>
  <c r="AL46" i="28"/>
  <c r="CW278" i="27"/>
  <c r="CW248" i="27"/>
  <c r="CW224" i="27"/>
  <c r="CW192" i="27"/>
  <c r="CW168" i="27"/>
  <c r="CW266" i="27"/>
  <c r="CW234" i="27"/>
  <c r="CW210" i="27"/>
  <c r="CW178" i="27"/>
  <c r="CW154" i="27"/>
  <c r="AT47" i="31"/>
  <c r="CW274" i="27"/>
  <c r="CW252" i="27"/>
  <c r="CW220" i="27"/>
  <c r="CW196" i="27"/>
  <c r="CW164" i="27"/>
  <c r="CW140" i="27"/>
  <c r="CW112" i="27"/>
  <c r="CW92" i="27"/>
  <c r="AT47" i="30"/>
  <c r="CW262" i="27"/>
  <c r="CW150" i="27"/>
  <c r="CW100" i="27"/>
  <c r="CW60" i="27"/>
  <c r="AT7" i="31"/>
  <c r="CW128" i="27"/>
  <c r="CW88" i="27"/>
  <c r="CW78" i="27"/>
  <c r="CW46" i="27"/>
  <c r="CW7" i="27"/>
  <c r="CW182" i="27"/>
  <c r="CW104" i="27"/>
  <c r="CW64" i="27"/>
  <c r="AL7" i="28"/>
  <c r="CW238" i="27"/>
  <c r="CW206" i="27"/>
  <c r="CW136" i="27"/>
  <c r="CW124" i="27"/>
  <c r="CW116" i="27"/>
  <c r="CW74" i="27"/>
  <c r="CW50" i="27"/>
  <c r="AL46" i="22"/>
  <c r="AL7" i="21"/>
  <c r="AV51" i="20"/>
  <c r="AN49" i="18"/>
  <c r="AN49" i="17"/>
  <c r="AN49" i="16"/>
  <c r="AN49" i="15"/>
  <c r="AN8" i="14"/>
  <c r="AN49" i="13"/>
  <c r="AN8" i="12"/>
  <c r="AN49" i="11"/>
  <c r="AL48" i="25"/>
  <c r="AL8" i="25"/>
  <c r="AL7" i="24"/>
  <c r="AL46" i="21"/>
  <c r="AR8" i="19"/>
  <c r="AN8" i="18"/>
  <c r="AN8" i="17"/>
  <c r="AN8" i="16"/>
  <c r="J13" i="3"/>
  <c r="AL46" i="24"/>
  <c r="AL7" i="23"/>
  <c r="AR56" i="19"/>
  <c r="AR55" i="19"/>
  <c r="AN8" i="15"/>
  <c r="AN49" i="14"/>
  <c r="AN8" i="13"/>
  <c r="AN49" i="12"/>
  <c r="AN8" i="11"/>
  <c r="AL46" i="23"/>
  <c r="AL7" i="22"/>
  <c r="AV8" i="20"/>
  <c r="J48" i="11" l="1"/>
  <c r="S47" i="11"/>
  <c r="K55" i="19"/>
  <c r="U54" i="19"/>
  <c r="S44" i="22"/>
  <c r="J45" i="22"/>
  <c r="J45" i="24"/>
  <c r="S44" i="24"/>
  <c r="J7" i="12"/>
  <c r="S6" i="12"/>
  <c r="S5" i="21"/>
  <c r="J6" i="21"/>
  <c r="AK138" i="5"/>
  <c r="AK136" i="5"/>
  <c r="AK134" i="5"/>
  <c r="AK132" i="5"/>
  <c r="AK130" i="5"/>
  <c r="AC84" i="27" s="1"/>
  <c r="J48" i="18"/>
  <c r="I47" i="18"/>
  <c r="S47" i="14"/>
  <c r="J48" i="14"/>
  <c r="S6" i="11"/>
  <c r="J7" i="11"/>
  <c r="J7" i="14"/>
  <c r="S6" i="14"/>
  <c r="S7" i="17"/>
  <c r="K8" i="17"/>
  <c r="S8" i="17" s="1"/>
  <c r="U7" i="19"/>
  <c r="K8" i="19"/>
  <c r="S44" i="21"/>
  <c r="J45" i="21"/>
  <c r="J45" i="23"/>
  <c r="S44" i="23"/>
  <c r="S7" i="16"/>
  <c r="K8" i="16"/>
  <c r="S8" i="16" s="1"/>
  <c r="S6" i="22"/>
  <c r="K7" i="22"/>
  <c r="S7" i="22" s="1"/>
  <c r="J50" i="20"/>
  <c r="K51" i="20"/>
  <c r="S51" i="20" s="1"/>
  <c r="I49" i="20"/>
  <c r="AK167" i="5"/>
  <c r="AK165" i="5"/>
  <c r="AC258" i="27" s="1"/>
  <c r="S47" i="12"/>
  <c r="J48" i="12"/>
  <c r="J48" i="17"/>
  <c r="I47" i="17"/>
  <c r="J48" i="15"/>
  <c r="S47" i="15"/>
  <c r="D37" i="7"/>
  <c r="D38" i="7" s="1"/>
  <c r="D39" i="7" s="1"/>
  <c r="D34" i="7"/>
  <c r="D35" i="7"/>
  <c r="D36" i="7"/>
  <c r="S6" i="13"/>
  <c r="J7" i="13"/>
  <c r="S7" i="18"/>
  <c r="K8" i="18"/>
  <c r="S8" i="18" s="1"/>
  <c r="S5" i="24"/>
  <c r="J6" i="24"/>
  <c r="I11" i="50"/>
  <c r="I12" i="38"/>
  <c r="I12" i="37"/>
  <c r="H16" i="34"/>
  <c r="H11" i="45"/>
  <c r="M12" i="35"/>
  <c r="I28" i="40"/>
  <c r="I9" i="39"/>
  <c r="I27" i="33"/>
  <c r="J154" i="27"/>
  <c r="J149" i="27"/>
  <c r="J156" i="27"/>
  <c r="J153" i="27"/>
  <c r="S148" i="27"/>
  <c r="J155" i="27"/>
  <c r="AI147" i="5"/>
  <c r="J209" i="27"/>
  <c r="J210" i="27"/>
  <c r="J205" i="27"/>
  <c r="J212" i="27"/>
  <c r="J211" i="27"/>
  <c r="S204" i="27"/>
  <c r="AI159" i="5"/>
  <c r="J265" i="27"/>
  <c r="J266" i="27"/>
  <c r="J261" i="27"/>
  <c r="J268" i="27"/>
  <c r="J267" i="27"/>
  <c r="S260" i="27"/>
  <c r="J278" i="27"/>
  <c r="J273" i="27"/>
  <c r="J280" i="27"/>
  <c r="J279" i="27"/>
  <c r="S272" i="27"/>
  <c r="J277" i="27"/>
  <c r="D20" i="7"/>
  <c r="S46" i="13"/>
  <c r="I47" i="13" s="1"/>
  <c r="S43" i="14"/>
  <c r="S44" i="14"/>
  <c r="AD45" i="14"/>
  <c r="AD44" i="16"/>
  <c r="J7" i="20"/>
  <c r="S5" i="22"/>
  <c r="S6" i="23"/>
  <c r="F270" i="48"/>
  <c r="F148" i="48"/>
  <c r="F24" i="48"/>
  <c r="F209" i="48"/>
  <c r="F87" i="48"/>
  <c r="G215" i="48"/>
  <c r="G93" i="48"/>
  <c r="O19" i="64"/>
  <c r="G276" i="48"/>
  <c r="G154" i="48"/>
  <c r="G30" i="48"/>
  <c r="F279" i="48"/>
  <c r="F157" i="48"/>
  <c r="F33" i="48"/>
  <c r="F218" i="48"/>
  <c r="F96" i="48"/>
  <c r="G221" i="48"/>
  <c r="G99" i="48"/>
  <c r="G282" i="48"/>
  <c r="G160" i="48"/>
  <c r="G36" i="48"/>
  <c r="F291" i="48"/>
  <c r="F169" i="48"/>
  <c r="F45" i="48"/>
  <c r="F230" i="48"/>
  <c r="F108" i="48"/>
  <c r="F245" i="48"/>
  <c r="F123" i="48"/>
  <c r="F306" i="48"/>
  <c r="F184" i="48"/>
  <c r="F60" i="48"/>
  <c r="G5" i="48"/>
  <c r="G209" i="48"/>
  <c r="G87" i="48"/>
  <c r="G2" i="48"/>
  <c r="G148" i="48"/>
  <c r="G24" i="48"/>
  <c r="G270" i="48"/>
  <c r="F273" i="48"/>
  <c r="F151" i="48"/>
  <c r="F27" i="48"/>
  <c r="F212" i="48"/>
  <c r="F90" i="48"/>
  <c r="F215" i="48"/>
  <c r="F93" i="48"/>
  <c r="F276" i="48"/>
  <c r="F154" i="48"/>
  <c r="F30" i="48"/>
  <c r="G279" i="48"/>
  <c r="G157" i="48"/>
  <c r="G33" i="48"/>
  <c r="G218" i="48"/>
  <c r="G96" i="48"/>
  <c r="F221" i="48"/>
  <c r="F99" i="48"/>
  <c r="F282" i="48"/>
  <c r="F160" i="48"/>
  <c r="F36" i="48"/>
  <c r="G285" i="48"/>
  <c r="G163" i="48"/>
  <c r="G39" i="48"/>
  <c r="G224" i="48"/>
  <c r="G102" i="48"/>
  <c r="F227" i="48"/>
  <c r="F105" i="48"/>
  <c r="F288" i="48"/>
  <c r="F166" i="48"/>
  <c r="F42" i="48"/>
  <c r="G291" i="48"/>
  <c r="G169" i="48"/>
  <c r="G45" i="48"/>
  <c r="G230" i="48"/>
  <c r="G108" i="48"/>
  <c r="F233" i="48"/>
  <c r="F111" i="48"/>
  <c r="F294" i="48"/>
  <c r="F172" i="48"/>
  <c r="F48" i="48"/>
  <c r="F297" i="48"/>
  <c r="F175" i="48"/>
  <c r="F51" i="48"/>
  <c r="F236" i="48"/>
  <c r="F114" i="48"/>
  <c r="G239" i="48"/>
  <c r="G117" i="48"/>
  <c r="G300" i="48"/>
  <c r="G178" i="48"/>
  <c r="G54" i="48"/>
  <c r="F303" i="48"/>
  <c r="F181" i="48"/>
  <c r="F57" i="48"/>
  <c r="F242" i="48"/>
  <c r="F120" i="48"/>
  <c r="G245" i="48"/>
  <c r="G123" i="48"/>
  <c r="G306" i="48"/>
  <c r="G184" i="48"/>
  <c r="G60" i="48"/>
  <c r="F309" i="48"/>
  <c r="F187" i="48"/>
  <c r="F63" i="48"/>
  <c r="F248" i="48"/>
  <c r="F126" i="48"/>
  <c r="G251" i="48"/>
  <c r="G129" i="48"/>
  <c r="G190" i="48"/>
  <c r="G66" i="48"/>
  <c r="AG42" i="30"/>
  <c r="G312" i="48"/>
  <c r="F193" i="48"/>
  <c r="F69" i="48"/>
  <c r="F315" i="48"/>
  <c r="F254" i="48"/>
  <c r="F132" i="48"/>
  <c r="J46" i="31"/>
  <c r="S45" i="31"/>
  <c r="G318" i="48"/>
  <c r="G257" i="48"/>
  <c r="G135" i="48"/>
  <c r="G196" i="48"/>
  <c r="G72" i="48"/>
  <c r="AD46" i="32"/>
  <c r="G199" i="48"/>
  <c r="G75" i="48"/>
  <c r="G321" i="48"/>
  <c r="G260" i="48"/>
  <c r="G138" i="48"/>
  <c r="AC41" i="27"/>
  <c r="J65" i="27"/>
  <c r="S58" i="27"/>
  <c r="J63" i="27"/>
  <c r="J64" i="27"/>
  <c r="J59" i="27"/>
  <c r="J66" i="27"/>
  <c r="AI130" i="5"/>
  <c r="AI132" i="5"/>
  <c r="AI134" i="5"/>
  <c r="AI136" i="5"/>
  <c r="AI138" i="5"/>
  <c r="J168" i="27"/>
  <c r="J163" i="27"/>
  <c r="J170" i="27"/>
  <c r="J169" i="27"/>
  <c r="S162" i="27"/>
  <c r="J167" i="27"/>
  <c r="AI150" i="5"/>
  <c r="J224" i="27"/>
  <c r="J219" i="27"/>
  <c r="J226" i="27"/>
  <c r="J225" i="27"/>
  <c r="S218" i="27"/>
  <c r="J223" i="27"/>
  <c r="AI162" i="5"/>
  <c r="F324" i="48"/>
  <c r="F263" i="48"/>
  <c r="F141" i="48"/>
  <c r="F202" i="48"/>
  <c r="F78" i="48"/>
  <c r="S44" i="28"/>
  <c r="J45" i="28"/>
  <c r="G205" i="48"/>
  <c r="G81" i="48"/>
  <c r="G266" i="48"/>
  <c r="G144" i="48"/>
  <c r="G327" i="48"/>
  <c r="AD46" i="29"/>
  <c r="D21" i="7"/>
  <c r="S45" i="13"/>
  <c r="AD46" i="13"/>
  <c r="AD43" i="14"/>
  <c r="AD44" i="14"/>
  <c r="S7" i="15"/>
  <c r="S46" i="16"/>
  <c r="AB45" i="20"/>
  <c r="AC41" i="22"/>
  <c r="I46" i="25"/>
  <c r="K48" i="25"/>
  <c r="S48" i="25" s="1"/>
  <c r="I10" i="50"/>
  <c r="I27" i="40"/>
  <c r="M11" i="35"/>
  <c r="I8" i="39"/>
  <c r="H15" i="34"/>
  <c r="H10" i="45"/>
  <c r="I11" i="37"/>
  <c r="I26" i="33"/>
  <c r="I11" i="38"/>
  <c r="G273" i="48"/>
  <c r="G151" i="48"/>
  <c r="G27" i="48"/>
  <c r="G212" i="48"/>
  <c r="G90" i="48"/>
  <c r="I9" i="50"/>
  <c r="I10" i="38"/>
  <c r="I10" i="37"/>
  <c r="H9" i="45"/>
  <c r="I26" i="40"/>
  <c r="I7" i="39"/>
  <c r="H14" i="34"/>
  <c r="M10" i="35"/>
  <c r="I25" i="33"/>
  <c r="G24" i="64"/>
  <c r="L23" i="64"/>
  <c r="J77" i="27"/>
  <c r="J78" i="27"/>
  <c r="J73" i="27"/>
  <c r="J80" i="27"/>
  <c r="J79" i="27"/>
  <c r="S72" i="27"/>
  <c r="AI141" i="5"/>
  <c r="J184" i="27"/>
  <c r="J183" i="27"/>
  <c r="S176" i="27"/>
  <c r="J181" i="27"/>
  <c r="J182" i="27"/>
  <c r="J177" i="27"/>
  <c r="AI153" i="5"/>
  <c r="J240" i="27"/>
  <c r="J239" i="27"/>
  <c r="S232" i="27"/>
  <c r="J237" i="27"/>
  <c r="J233" i="27"/>
  <c r="J238" i="27"/>
  <c r="AI165" i="5"/>
  <c r="D22" i="7"/>
  <c r="S45" i="16"/>
  <c r="AD46" i="16"/>
  <c r="AG49" i="19"/>
  <c r="I6" i="20"/>
  <c r="F285" i="48"/>
  <c r="F163" i="48"/>
  <c r="F39" i="48"/>
  <c r="F224" i="48"/>
  <c r="F102" i="48"/>
  <c r="G227" i="48"/>
  <c r="G105" i="48"/>
  <c r="G288" i="48"/>
  <c r="G166" i="48"/>
  <c r="G42" i="48"/>
  <c r="G233" i="48"/>
  <c r="G111" i="48"/>
  <c r="G294" i="48"/>
  <c r="G172" i="48"/>
  <c r="G48" i="48"/>
  <c r="G297" i="48"/>
  <c r="G175" i="48"/>
  <c r="G51" i="48"/>
  <c r="G236" i="48"/>
  <c r="G114" i="48"/>
  <c r="F239" i="48"/>
  <c r="F117" i="48"/>
  <c r="F300" i="48"/>
  <c r="F178" i="48"/>
  <c r="F54" i="48"/>
  <c r="G303" i="48"/>
  <c r="G181" i="48"/>
  <c r="G57" i="48"/>
  <c r="G242" i="48"/>
  <c r="G120" i="48"/>
  <c r="G309" i="48"/>
  <c r="G187" i="48"/>
  <c r="G63" i="48"/>
  <c r="G248" i="48"/>
  <c r="G126" i="48"/>
  <c r="F312" i="48"/>
  <c r="F251" i="48"/>
  <c r="F129" i="48"/>
  <c r="F190" i="48"/>
  <c r="F66" i="48"/>
  <c r="J46" i="30"/>
  <c r="S45" i="30"/>
  <c r="G193" i="48"/>
  <c r="G69" i="48"/>
  <c r="G315" i="48"/>
  <c r="G254" i="48"/>
  <c r="G132" i="48"/>
  <c r="AG42" i="31"/>
  <c r="F318" i="48"/>
  <c r="F257" i="48"/>
  <c r="F135" i="48"/>
  <c r="F196" i="48"/>
  <c r="F72" i="48"/>
  <c r="F199" i="48"/>
  <c r="F75" i="48"/>
  <c r="F321" i="48"/>
  <c r="F260" i="48"/>
  <c r="F138" i="48"/>
  <c r="J52" i="27"/>
  <c r="J51" i="27"/>
  <c r="S44" i="27"/>
  <c r="J49" i="27"/>
  <c r="J50" i="27"/>
  <c r="J45" i="27"/>
  <c r="J92" i="27"/>
  <c r="J87" i="27"/>
  <c r="J94" i="27"/>
  <c r="J91" i="27"/>
  <c r="J93" i="27"/>
  <c r="S86" i="27"/>
  <c r="J106" i="27"/>
  <c r="J105" i="27"/>
  <c r="J103" i="27"/>
  <c r="J99" i="27"/>
  <c r="J104" i="27"/>
  <c r="S98" i="27"/>
  <c r="J117" i="27"/>
  <c r="S110" i="27"/>
  <c r="J115" i="27"/>
  <c r="J111" i="27"/>
  <c r="J118" i="27"/>
  <c r="J116" i="27"/>
  <c r="J129" i="27"/>
  <c r="J127" i="27"/>
  <c r="J123" i="27"/>
  <c r="S122" i="27"/>
  <c r="J130" i="27"/>
  <c r="J128" i="27"/>
  <c r="J139" i="27"/>
  <c r="J140" i="27"/>
  <c r="J135" i="27"/>
  <c r="S134" i="27"/>
  <c r="J142" i="27"/>
  <c r="J141" i="27"/>
  <c r="J197" i="27"/>
  <c r="S190" i="27"/>
  <c r="J195" i="27"/>
  <c r="J196" i="27"/>
  <c r="J191" i="27"/>
  <c r="J198" i="27"/>
  <c r="J253" i="27"/>
  <c r="S246" i="27"/>
  <c r="J251" i="27"/>
  <c r="J252" i="27"/>
  <c r="J247" i="27"/>
  <c r="J254" i="27"/>
  <c r="G263" i="48"/>
  <c r="G141" i="48"/>
  <c r="G324" i="48"/>
  <c r="G202" i="48"/>
  <c r="G78" i="48"/>
  <c r="AC41" i="28"/>
  <c r="F327" i="48"/>
  <c r="F205" i="48"/>
  <c r="F81" i="48"/>
  <c r="F266" i="48"/>
  <c r="F144" i="48"/>
  <c r="AD43" i="11"/>
  <c r="AD43" i="15"/>
  <c r="S43" i="16"/>
  <c r="S44" i="16"/>
  <c r="AD45" i="16"/>
  <c r="AC41" i="24"/>
  <c r="J6" i="27"/>
  <c r="S5" i="28"/>
  <c r="S6" i="28"/>
  <c r="K7" i="28"/>
  <c r="S7" i="28" s="1"/>
  <c r="S5" i="31"/>
  <c r="I31" i="33"/>
  <c r="I136" i="33" s="1"/>
  <c r="H31" i="33"/>
  <c r="H136" i="33" s="1"/>
  <c r="S5" i="30"/>
  <c r="J6" i="30"/>
  <c r="S6" i="31"/>
  <c r="K7" i="31"/>
  <c r="S7" i="31" s="1"/>
  <c r="F5" i="43"/>
  <c r="F5" i="41"/>
  <c r="I36" i="43"/>
  <c r="H36" i="43" s="1"/>
  <c r="I58" i="43"/>
  <c r="H58" i="43" s="1"/>
  <c r="H49" i="43"/>
  <c r="I48" i="43"/>
  <c r="H48" i="43" s="1"/>
  <c r="H49" i="51"/>
  <c r="L10" i="54"/>
  <c r="R10" i="54" s="1"/>
  <c r="G46" i="51"/>
  <c r="G47" i="51"/>
  <c r="G53" i="51"/>
  <c r="G50" i="51"/>
  <c r="G49" i="51"/>
  <c r="H46" i="51"/>
  <c r="H47" i="51"/>
  <c r="H48" i="51"/>
  <c r="H50" i="51"/>
  <c r="H53" i="51"/>
  <c r="D50" i="61"/>
  <c r="D49" i="61"/>
  <c r="D48" i="61"/>
  <c r="E4" i="62"/>
  <c r="C4" i="62" s="1"/>
  <c r="D4" i="7" s="1"/>
  <c r="AA11" i="63"/>
  <c r="N11" i="63" s="1"/>
  <c r="I15" i="45" s="1"/>
  <c r="U15" i="63"/>
  <c r="M15" i="63" s="1"/>
  <c r="E19" i="45" s="1"/>
  <c r="J49" i="51"/>
  <c r="J50" i="51"/>
  <c r="J51" i="51"/>
  <c r="J52" i="51"/>
  <c r="J45" i="51" s="1"/>
  <c r="E5" i="2" s="1"/>
  <c r="F10" i="55"/>
  <c r="E6" i="62"/>
  <c r="C6" i="62" s="1"/>
  <c r="E21" i="33" s="1"/>
  <c r="E29" i="62"/>
  <c r="C29" i="62" s="1"/>
  <c r="D5" i="49" s="1"/>
  <c r="U14" i="63"/>
  <c r="M14" i="63" s="1"/>
  <c r="E18" i="45" s="1"/>
  <c r="AA15" i="63"/>
  <c r="N15" i="63" s="1"/>
  <c r="I19" i="45" s="1"/>
  <c r="F2" i="54"/>
  <c r="E3" i="62"/>
  <c r="C3" i="62" s="1"/>
  <c r="D5" i="45" s="1"/>
  <c r="E5" i="62"/>
  <c r="C5" i="62" s="1"/>
  <c r="D5" i="46" s="1"/>
  <c r="S49" i="27" l="1"/>
  <c r="K50" i="27"/>
  <c r="S50" i="27" s="1"/>
  <c r="S247" i="27"/>
  <c r="K248" i="27"/>
  <c r="S248" i="27" s="1"/>
  <c r="S195" i="27"/>
  <c r="K196" i="27"/>
  <c r="S196" i="27" s="1"/>
  <c r="K140" i="27"/>
  <c r="S140" i="27" s="1"/>
  <c r="S139" i="27"/>
  <c r="S123" i="27"/>
  <c r="K124" i="27"/>
  <c r="S124" i="27" s="1"/>
  <c r="S103" i="27"/>
  <c r="K104" i="27"/>
  <c r="S104" i="27" s="1"/>
  <c r="S46" i="30"/>
  <c r="K47" i="30"/>
  <c r="S47" i="30" s="1"/>
  <c r="K234" i="27"/>
  <c r="S234" i="27" s="1"/>
  <c r="S233" i="27"/>
  <c r="S181" i="27"/>
  <c r="K182" i="27"/>
  <c r="S182" i="27" s="1"/>
  <c r="S73" i="27"/>
  <c r="K74" i="27"/>
  <c r="S74" i="27" s="1"/>
  <c r="L24" i="64"/>
  <c r="H25" i="64"/>
  <c r="L25" i="64" s="1"/>
  <c r="J48" i="16"/>
  <c r="I47" i="16"/>
  <c r="S167" i="27"/>
  <c r="K168" i="27"/>
  <c r="S168" i="27" s="1"/>
  <c r="K164" i="27"/>
  <c r="S164" i="27" s="1"/>
  <c r="S163" i="27"/>
  <c r="S59" i="27"/>
  <c r="K60" i="27"/>
  <c r="S60" i="27" s="1"/>
  <c r="J48" i="13"/>
  <c r="S47" i="13"/>
  <c r="K210" i="27"/>
  <c r="S210" i="27" s="1"/>
  <c r="S209" i="27"/>
  <c r="S153" i="27"/>
  <c r="K154" i="27"/>
  <c r="S154" i="27" s="1"/>
  <c r="S48" i="15"/>
  <c r="K49" i="15"/>
  <c r="S49" i="15" s="1"/>
  <c r="K46" i="21"/>
  <c r="S46" i="21" s="1"/>
  <c r="S45" i="21"/>
  <c r="K8" i="11"/>
  <c r="S8" i="11" s="1"/>
  <c r="S7" i="11"/>
  <c r="K46" i="24"/>
  <c r="S46" i="24" s="1"/>
  <c r="S45" i="24"/>
  <c r="L56" i="19"/>
  <c r="U56" i="19" s="1"/>
  <c r="U55" i="19"/>
  <c r="D4" i="4"/>
  <c r="B5" i="1"/>
  <c r="K100" i="27"/>
  <c r="S100" i="27" s="1"/>
  <c r="S99" i="27"/>
  <c r="S87" i="27"/>
  <c r="K88" i="27"/>
  <c r="S88" i="27" s="1"/>
  <c r="S261" i="27"/>
  <c r="K262" i="27"/>
  <c r="S262" i="27" s="1"/>
  <c r="K49" i="12"/>
  <c r="S49" i="12" s="1"/>
  <c r="S48" i="12"/>
  <c r="S45" i="23"/>
  <c r="K46" i="23"/>
  <c r="S46" i="23" s="1"/>
  <c r="S7" i="14"/>
  <c r="K8" i="14"/>
  <c r="S8" i="14" s="1"/>
  <c r="S6" i="21"/>
  <c r="K7" i="21"/>
  <c r="S7" i="21" s="1"/>
  <c r="S6" i="30"/>
  <c r="K7" i="30"/>
  <c r="S7" i="30" s="1"/>
  <c r="K7" i="27"/>
  <c r="S7" i="27" s="1"/>
  <c r="S6" i="27"/>
  <c r="S127" i="27"/>
  <c r="K128" i="27"/>
  <c r="S128" i="27" s="1"/>
  <c r="K112" i="27"/>
  <c r="S112" i="27" s="1"/>
  <c r="S111" i="27"/>
  <c r="S91" i="27"/>
  <c r="K92" i="27"/>
  <c r="S92" i="27" s="1"/>
  <c r="K46" i="27"/>
  <c r="S46" i="27" s="1"/>
  <c r="S45" i="27"/>
  <c r="S237" i="27"/>
  <c r="K238" i="27"/>
  <c r="S238" i="27" s="1"/>
  <c r="S45" i="28"/>
  <c r="K46" i="28"/>
  <c r="S46" i="28" s="1"/>
  <c r="S223" i="27"/>
  <c r="K224" i="27"/>
  <c r="S224" i="27" s="1"/>
  <c r="K220" i="27"/>
  <c r="S220" i="27" s="1"/>
  <c r="S219" i="27"/>
  <c r="K266" i="27"/>
  <c r="S266" i="27" s="1"/>
  <c r="S265" i="27"/>
  <c r="K7" i="24"/>
  <c r="S7" i="24" s="1"/>
  <c r="S6" i="24"/>
  <c r="K8" i="13"/>
  <c r="S8" i="13" s="1"/>
  <c r="S7" i="13"/>
  <c r="S48" i="18"/>
  <c r="K49" i="18"/>
  <c r="S49" i="18" s="1"/>
  <c r="S45" i="22"/>
  <c r="K46" i="22"/>
  <c r="S46" i="22" s="1"/>
  <c r="S251" i="27"/>
  <c r="K252" i="27"/>
  <c r="S252" i="27" s="1"/>
  <c r="S191" i="27"/>
  <c r="K192" i="27"/>
  <c r="S192" i="27" s="1"/>
  <c r="S135" i="27"/>
  <c r="K136" i="27"/>
  <c r="S136" i="27" s="1"/>
  <c r="S115" i="27"/>
  <c r="K116" i="27"/>
  <c r="S116" i="27" s="1"/>
  <c r="K178" i="27"/>
  <c r="S178" i="27" s="1"/>
  <c r="S177" i="27"/>
  <c r="K78" i="27"/>
  <c r="S78" i="27" s="1"/>
  <c r="S77" i="27"/>
  <c r="S63" i="27"/>
  <c r="K64" i="27"/>
  <c r="S64" i="27" s="1"/>
  <c r="K47" i="31"/>
  <c r="S47" i="31" s="1"/>
  <c r="S46" i="31"/>
  <c r="S277" i="27"/>
  <c r="K278" i="27"/>
  <c r="S278" i="27" s="1"/>
  <c r="K274" i="27"/>
  <c r="S274" i="27" s="1"/>
  <c r="S273" i="27"/>
  <c r="S205" i="27"/>
  <c r="K206" i="27"/>
  <c r="S206" i="27" s="1"/>
  <c r="K150" i="27"/>
  <c r="S150" i="27" s="1"/>
  <c r="S149" i="27"/>
  <c r="D41" i="7"/>
  <c r="D40" i="7"/>
  <c r="D43" i="7"/>
  <c r="D44" i="7" s="1"/>
  <c r="D45" i="7" s="1"/>
  <c r="S48" i="17"/>
  <c r="K49" i="17"/>
  <c r="S49" i="17" s="1"/>
  <c r="U8" i="19"/>
  <c r="L9" i="19"/>
  <c r="U9" i="19" s="1"/>
  <c r="K49" i="14"/>
  <c r="S49" i="14" s="1"/>
  <c r="S48" i="14"/>
  <c r="S7" i="12"/>
  <c r="K8" i="12"/>
  <c r="S8" i="12" s="1"/>
  <c r="S48" i="11"/>
  <c r="K49" i="11"/>
  <c r="S49" i="11" s="1"/>
  <c r="S48" i="13" l="1"/>
  <c r="K49" i="13"/>
  <c r="S49" i="13" s="1"/>
  <c r="S48" i="16"/>
  <c r="K49" i="16"/>
  <c r="S49" i="16" s="1"/>
  <c r="D49" i="7"/>
  <c r="D46" i="7"/>
  <c r="D48" i="7"/>
  <c r="D47"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<sst xmlns="http://schemas.openxmlformats.org/spreadsheetml/2006/main" count="16412" uniqueCount="3766">
  <si>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</si>
  <si>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</si>
  <si>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</si>
  <si>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</si>
  <si>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</si>
  <si>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</si>
  <si>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</si>
  <si>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</si>
  <si>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</si>
  <si>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</si>
  <si>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</si>
  <si>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</si>
  <si>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</si>
  <si>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</si>
  <si>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</si>
  <si>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</si>
  <si>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</si>
  <si>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</si>
  <si>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</si>
  <si>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</si>
  <si>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</si>
  <si>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</si>
  <si>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</si>
  <si>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</si>
  <si>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</si>
  <si>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</si>
  <si>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</si>
  <si>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</si>
  <si>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</si>
  <si>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</si>
  <si>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</si>
  <si>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</si>
  <si>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</si>
  <si>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</si>
  <si>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</si>
  <si>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</si>
  <si>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</si>
  <si>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</si>
  <si>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</si>
  <si>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</si>
  <si>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</si>
  <si>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71/10</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</si>
  <si>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</si>
  <si>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</si>
  <si>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</si>
  <si>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</si>
  <si>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</si>
  <si>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63/2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</si>
  <si>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</si>
  <si>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</si>
  <si>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</si>
  <si>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</si>
  <si>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</si>
  <si>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</si>
  <si>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</si>
  <si>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</si>
  <si>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</si>
  <si>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</si>
  <si>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</si>
  <si>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</si>
  <si>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</si>
  <si>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</si>
  <si>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</si>
  <si>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</si>
  <si>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</si>
  <si>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</si>
  <si>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</si>
  <si>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</si>
  <si>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</si>
  <si>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</si>
  <si>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</si>
  <si>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</si>
  <si>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</si>
  <si>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</si>
  <si>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</si>
  <si>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</si>
  <si>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</si>
  <si>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</si>
  <si>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</si>
  <si>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</si>
  <si>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</si>
  <si>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</si>
  <si>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</si>
  <si>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</si>
  <si>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</si>
  <si>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</si>
  <si>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</si>
  <si>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</si>
  <si>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</si>
  <si>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</si>
  <si>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</si>
  <si>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</si>
  <si>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</si>
  <si>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</si>
  <si>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</si>
  <si>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</si>
  <si>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</si>
  <si>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</si>
  <si>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</si>
  <si>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</si>
  <si>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</si>
  <si>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</si>
  <si>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</si>
  <si>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</si>
  <si>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</si>
  <si>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2</t>
  </si>
  <si>
    <t>×</t>
  </si>
  <si>
    <t>ter_5</t>
  </si>
  <si>
    <t>44</t>
  </si>
  <si>
    <t>Михайловский муниципальный район</t>
  </si>
  <si>
    <t>Новошахтинское городское поселение</t>
  </si>
  <si>
    <t>05620154</t>
  </si>
  <si>
    <t>ter_51</t>
  </si>
  <si>
    <t>16</t>
  </si>
  <si>
    <t>Кавалеровский муниципальный округ</t>
  </si>
  <si>
    <t>05510000</t>
  </si>
  <si>
    <t>ter_511</t>
  </si>
  <si>
    <t>78</t>
  </si>
  <si>
    <t>Хасанский муниципальный округ</t>
  </si>
  <si>
    <t>05548000</t>
  </si>
  <si>
    <t>5</t>
  </si>
  <si>
    <t>ter_5111</t>
  </si>
  <si>
    <t>81</t>
  </si>
  <si>
    <t>Черниговский муниципальный район</t>
  </si>
  <si>
    <t>Дмитриевское сельское поселение</t>
  </si>
  <si>
    <t>05653410</t>
  </si>
  <si>
    <t>ter_51111</t>
  </si>
  <si>
    <t>83</t>
  </si>
  <si>
    <t>Реттиховское городское поселение</t>
  </si>
  <si>
    <t>05653422</t>
  </si>
  <si>
    <t>ter_511111</t>
  </si>
  <si>
    <t>85</t>
  </si>
  <si>
    <t>Снегуровское</t>
  </si>
  <si>
    <t>05653419</t>
  </si>
  <si>
    <t>8</t>
  </si>
  <si>
    <t>ter_5111111</t>
  </si>
  <si>
    <t>80</t>
  </si>
  <si>
    <t>Черниговский муниципальный округ</t>
  </si>
  <si>
    <t>05553000</t>
  </si>
  <si>
    <t>9</t>
  </si>
  <si>
    <t>ter_51111111</t>
  </si>
  <si>
    <t>92</t>
  </si>
  <si>
    <t>Шкотовский муниципальный район</t>
  </si>
  <si>
    <t>Романовское сельское поселение</t>
  </si>
  <si>
    <t>05657425</t>
  </si>
  <si>
    <t>10</t>
  </si>
  <si>
    <t>ter_511111111</t>
  </si>
  <si>
    <t>89</t>
  </si>
  <si>
    <t>Шкотовский муниципальный округ</t>
  </si>
  <si>
    <t>05557000</t>
  </si>
  <si>
    <t>11</t>
  </si>
  <si>
    <t>ter_5111111111</t>
  </si>
  <si>
    <t>Дальнегорский городской округ</t>
  </si>
  <si>
    <t>05707000</t>
  </si>
  <si>
    <t>12</t>
  </si>
  <si>
    <t>ter_51111111111</t>
  </si>
  <si>
    <t>Городской округ Спасск-Дальний</t>
  </si>
  <si>
    <t>05720000</t>
  </si>
  <si>
    <t>13</t>
  </si>
  <si>
    <t>ter_511111111111</t>
  </si>
  <si>
    <t>106</t>
  </si>
  <si>
    <t>городской округ ЗАТО Фокино</t>
  </si>
  <si>
    <t>05747000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</si>
  <si>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</si>
  <si>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</si>
  <si>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</si>
  <si>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</si>
  <si>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</si>
  <si>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</si>
  <si>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</si>
  <si>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</si>
  <si>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</si>
  <si>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</si>
  <si>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</si>
  <si>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</si>
  <si>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</si>
  <si>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</si>
  <si>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</si>
  <si>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</si>
  <si>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</si>
  <si>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</si>
  <si>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</si>
  <si>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</si>
  <si>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</si>
  <si>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</si>
  <si>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</si>
  <si>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</si>
  <si>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</si>
  <si>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</si>
  <si>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</si>
  <si>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</si>
  <si>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</si>
  <si>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</si>
  <si>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</si>
  <si>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</si>
  <si>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</si>
  <si>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</si>
  <si>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</si>
  <si>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</si>
  <si>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</si>
  <si>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</si>
  <si>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</si>
  <si>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</si>
  <si>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</si>
  <si>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</si>
  <si>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</si>
  <si>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</si>
  <si>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</si>
  <si>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</si>
  <si>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</si>
  <si>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</si>
  <si>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</si>
  <si>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</si>
  <si>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</si>
  <si>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</si>
  <si>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</si>
  <si>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</si>
  <si>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</si>
  <si>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</si>
  <si>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</si>
  <si>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</si>
  <si>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</si>
  <si>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</si>
  <si>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</si>
  <si>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</si>
  <si>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</si>
  <si>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</si>
  <si>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</si>
  <si>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</si>
  <si>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</si>
  <si>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</si>
  <si>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</si>
  <si>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</si>
  <si>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</si>
  <si>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</si>
  <si>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</si>
  <si>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</si>
  <si>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</si>
  <si>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</si>
  <si>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</si>
  <si>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</si>
  <si>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</si>
  <si>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</si>
  <si>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</si>
  <si>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</si>
  <si>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</si>
  <si>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</si>
  <si>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</si>
  <si>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</si>
  <si>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</si>
  <si>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</si>
  <si>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</si>
  <si>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</si>
  <si>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</si>
  <si>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</si>
  <si>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</si>
  <si>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</si>
  <si>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</si>
  <si>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</si>
  <si>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</si>
  <si>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</si>
  <si>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</si>
  <si>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</si>
  <si>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</si>
  <si>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</si>
  <si>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</si>
  <si>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</si>
  <si>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</si>
  <si>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</si>
  <si>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</si>
  <si>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</si>
  <si>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</si>
  <si>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</si>
  <si>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</si>
  <si>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</si>
  <si>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</si>
  <si>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</si>
  <si>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</si>
  <si>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</si>
  <si>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</si>
  <si>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</si>
  <si>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</si>
  <si>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</si>
  <si>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</si>
  <si>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</si>
  <si>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</si>
  <si>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</si>
  <si>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</si>
  <si>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</si>
  <si>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</si>
  <si>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</si>
  <si>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</si>
  <si>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</si>
  <si>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</si>
  <si>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</si>
  <si>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</si>
  <si>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</si>
  <si>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</si>
  <si>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</si>
  <si>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</si>
  <si>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</si>
  <si>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</si>
  <si>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</si>
  <si>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</si>
  <si>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</si>
  <si>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</si>
  <si>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</si>
  <si>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</si>
  <si>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</si>
  <si>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</si>
  <si>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</si>
  <si>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</si>
  <si>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</si>
  <si>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</si>
  <si>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для потребителей КГУП "Примтеплоэнерго"</t>
  </si>
  <si>
    <t>с. Анучино</t>
  </si>
  <si>
    <t>"4189714"</t>
  </si>
  <si>
    <t>pIns_PT_VTAR_A_VOTV</t>
  </si>
  <si>
    <t>pt_ntar_17</t>
  </si>
  <si>
    <t>pt_ter_17</t>
  </si>
  <si>
    <t>pt_cs_17</t>
  </si>
  <si>
    <t>Добавить централизованную систему для дифференциации</t>
  </si>
  <si>
    <t>пгт. Новошахтинский</t>
  </si>
  <si>
    <t>pt_ter_30</t>
  </si>
  <si>
    <t>pt_cs_31</t>
  </si>
  <si>
    <t>pt_ist_te_31</t>
  </si>
  <si>
    <t>Кавалеровский МО</t>
  </si>
  <si>
    <t>pt_ter_31</t>
  </si>
  <si>
    <t>pt_cs_32</t>
  </si>
  <si>
    <t>pt_ist_te_32</t>
  </si>
  <si>
    <t>с. Барабаш, с. Занадворовка</t>
  </si>
  <si>
    <t>pt_ter_32</t>
  </si>
  <si>
    <t>pt_cs_33</t>
  </si>
  <si>
    <t>pt_ist_te_33</t>
  </si>
  <si>
    <t>с. Безверхово, с. Перевозная</t>
  </si>
  <si>
    <t>pt_cs_34</t>
  </si>
  <si>
    <t>pt_ist_te_34</t>
  </si>
  <si>
    <t>пгт. Краскино</t>
  </si>
  <si>
    <t>pt_cs_35</t>
  </si>
  <si>
    <t>pt_ist_te_35</t>
  </si>
  <si>
    <t>пгт. Посьет</t>
  </si>
  <si>
    <t>pt_cs_36</t>
  </si>
  <si>
    <t>pt_ist_te_36</t>
  </si>
  <si>
    <t>пгт. Приморский</t>
  </si>
  <si>
    <t>pt_cs_37</t>
  </si>
  <si>
    <t>pt_ist_te_37</t>
  </si>
  <si>
    <t>с. Дмитриевка, с. Майское</t>
  </si>
  <si>
    <t>pt_ter_33</t>
  </si>
  <si>
    <t>pt_cs_38</t>
  </si>
  <si>
    <t>pt_ist_te_38</t>
  </si>
  <si>
    <t>п. Реттиховка</t>
  </si>
  <si>
    <t>pt_ter_34</t>
  </si>
  <si>
    <t>pt_cs_39</t>
  </si>
  <si>
    <t>pt_ist_te_39</t>
  </si>
  <si>
    <t>с. Снегуровка</t>
  </si>
  <si>
    <t>pt_ter_35</t>
  </si>
  <si>
    <t>pt_cs_40</t>
  </si>
  <si>
    <t>pt_ist_te_40</t>
  </si>
  <si>
    <t>с. Черниговка</t>
  </si>
  <si>
    <t>pt_ter_36</t>
  </si>
  <si>
    <t>pt_cs_41</t>
  </si>
  <si>
    <t>pt_ist_te_41</t>
  </si>
  <si>
    <t>с. Романовка</t>
  </si>
  <si>
    <t>pt_ter_37</t>
  </si>
  <si>
    <t>pt_cs_42</t>
  </si>
  <si>
    <t>pt_ist_te_42</t>
  </si>
  <si>
    <t>с. Многоудобное</t>
  </si>
  <si>
    <t>pt_ter_38</t>
  </si>
  <si>
    <t>pt_cs_43</t>
  </si>
  <si>
    <t>pt_ist_te_43</t>
  </si>
  <si>
    <t>Дальнегорский ГО</t>
  </si>
  <si>
    <t>pt_ter_39</t>
  </si>
  <si>
    <t>pt_cs_44</t>
  </si>
  <si>
    <t>pt_ist_te_44</t>
  </si>
  <si>
    <t>ГО Спасск-Дальний</t>
  </si>
  <si>
    <t>pt_ter_40</t>
  </si>
  <si>
    <t>pt_cs_45</t>
  </si>
  <si>
    <t>pt_ist_te_45</t>
  </si>
  <si>
    <t>ГО ЗАТО г. Фокино</t>
  </si>
  <si>
    <t>pt_ter_41</t>
  </si>
  <si>
    <t>pt_cs_46</t>
  </si>
  <si>
    <t>pt_ist_te_46</t>
  </si>
  <si>
    <t>ГО ЗАТО г. Фокино (пгт. Путятин)</t>
  </si>
  <si>
    <t>pt_cs_47</t>
  </si>
  <si>
    <t>pt_ist_te_47</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</si>
  <si>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</si>
  <si>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</si>
  <si>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</si>
  <si>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</si>
  <si>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</si>
  <si>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</si>
  <si>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</si>
  <si>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</si>
  <si>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</si>
  <si>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</si>
  <si>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</si>
  <si>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</si>
  <si>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</si>
  <si>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</si>
  <si>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</si>
  <si>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</si>
  <si>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</si>
  <si>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</si>
  <si>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</si>
  <si>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</si>
  <si>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</si>
  <si>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</si>
  <si>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</si>
  <si>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</si>
  <si>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</si>
  <si>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</si>
  <si>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</si>
  <si>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</si>
  <si>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</si>
  <si>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</si>
  <si>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</si>
  <si>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</si>
  <si>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</si>
  <si>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</si>
  <si>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</si>
  <si>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</si>
  <si>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</si>
  <si>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</si>
  <si>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</si>
  <si>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</si>
  <si>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</si>
  <si>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</si>
  <si>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</si>
  <si>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</si>
  <si>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</si>
  <si>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</si>
  <si>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</si>
  <si>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</si>
  <si>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</si>
  <si>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</si>
  <si>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</si>
  <si>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</si>
  <si>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</si>
  <si>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</si>
  <si>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</si>
  <si>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</si>
  <si>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</si>
  <si>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</si>
  <si>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</si>
  <si>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</si>
  <si>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</si>
  <si>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</si>
  <si>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</si>
  <si>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</si>
  <si>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</si>
  <si>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</si>
  <si>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</si>
  <si>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</si>
  <si>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</si>
  <si>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</si>
  <si>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</si>
  <si>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</si>
  <si>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</si>
  <si>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</si>
  <si>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</si>
  <si>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</si>
  <si>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</si>
  <si>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</si>
  <si>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</si>
  <si>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</si>
  <si>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</si>
  <si>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</si>
  <si>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</si>
  <si>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</si>
  <si>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</si>
  <si>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</si>
  <si>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</si>
  <si>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</si>
  <si>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</si>
  <si>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</si>
  <si>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</si>
  <si>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</si>
  <si>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</si>
  <si>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</si>
  <si>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</si>
  <si>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</si>
  <si>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</si>
  <si>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</si>
  <si>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</si>
  <si>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</si>
  <si>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</si>
  <si>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</si>
  <si>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</si>
  <si>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</si>
  <si>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</si>
  <si>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</si>
  <si>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</si>
  <si>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</si>
  <si>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</si>
  <si>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</si>
  <si>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</si>
  <si>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</si>
  <si>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</si>
  <si>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</si>
  <si>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</si>
  <si>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</si>
  <si>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</si>
  <si>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</si>
  <si>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</si>
  <si>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</si>
  <si>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</si>
  <si>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</si>
  <si>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</si>
  <si>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</si>
  <si>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</si>
  <si>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</si>
  <si>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</si>
  <si>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</si>
  <si>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</si>
  <si>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</si>
  <si>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</si>
  <si>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</si>
  <si>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</si>
  <si>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</si>
  <si>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</si>
  <si>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</si>
  <si>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</si>
  <si>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</si>
  <si>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</si>
  <si>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</si>
  <si>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</si>
  <si>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</si>
  <si>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</si>
  <si>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</si>
  <si>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</si>
  <si>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</si>
  <si>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</si>
  <si>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</si>
  <si>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</si>
  <si>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</si>
  <si>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</si>
  <si>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</si>
  <si>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</si>
  <si>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</si>
  <si>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</si>
  <si>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</si>
  <si>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</si>
  <si>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</si>
  <si>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</si>
  <si>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</si>
  <si>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</si>
  <si>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</si>
  <si>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</si>
  <si>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</si>
  <si>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</si>
  <si>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</si>
  <si>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</si>
  <si>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</si>
  <si>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</si>
  <si>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</si>
  <si>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</si>
  <si>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</si>
  <si>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</si>
  <si>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</si>
  <si>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</si>
  <si>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</si>
  <si>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</si>
  <si>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</si>
  <si>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</si>
  <si>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</si>
  <si>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</si>
  <si>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</si>
  <si>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</si>
  <si>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</si>
  <si>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</si>
  <si>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</si>
  <si>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</si>
  <si>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</si>
  <si>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</si>
  <si>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</si>
  <si>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</si>
  <si>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</si>
  <si>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</si>
  <si>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</si>
  <si>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</si>
  <si>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</si>
  <si>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</si>
  <si>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</si>
  <si>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</si>
  <si>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</si>
  <si>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</si>
  <si>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</si>
  <si>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</si>
  <si>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</si>
  <si>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</si>
  <si>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</si>
  <si>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</si>
  <si>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</si>
  <si>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</si>
  <si>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</si>
  <si>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</si>
  <si>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</si>
  <si>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</si>
  <si>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</si>
  <si>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</si>
  <si>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</si>
  <si>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</si>
  <si>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</si>
  <si>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</si>
  <si>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</si>
  <si>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</si>
  <si>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</si>
  <si>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</si>
  <si>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</si>
  <si>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</si>
  <si>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</si>
  <si>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</si>
  <si>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</si>
  <si>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</si>
  <si>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</si>
  <si>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</si>
  <si>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</si>
  <si>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</si>
  <si>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</si>
  <si>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</si>
  <si>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</si>
  <si>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</si>
  <si>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</si>
  <si>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</si>
  <si>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</si>
  <si>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</si>
  <si>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</si>
  <si>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</si>
  <si>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</si>
  <si>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</si>
  <si>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</si>
  <si>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</si>
  <si>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</si>
  <si>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</si>
  <si>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</si>
  <si>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</si>
  <si>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</si>
  <si>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</si>
  <si>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</si>
  <si>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</si>
  <si>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</si>
  <si>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</si>
  <si>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</si>
  <si>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</si>
  <si>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</si>
  <si>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</si>
  <si>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</si>
  <si>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</si>
  <si>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</si>
  <si>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</si>
  <si>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</si>
  <si>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</si>
  <si>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</si>
  <si>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</si>
  <si>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</si>
  <si>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</si>
  <si>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</si>
  <si>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</si>
  <si>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</si>
  <si>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</si>
  <si>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</si>
  <si>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</si>
  <si>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</si>
  <si>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</si>
  <si>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</si>
  <si>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</si>
  <si>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</si>
  <si>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</si>
  <si>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</si>
  <si>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</si>
  <si>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</si>
  <si>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</si>
  <si>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</si>
  <si>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</si>
  <si>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</si>
  <si>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</si>
  <si>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</si>
  <si>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</si>
  <si>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</si>
  <si>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</si>
  <si>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</si>
  <si>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</si>
  <si>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</si>
  <si>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</si>
  <si>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</si>
  <si>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</si>
  <si>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</si>
  <si>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</si>
  <si>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</si>
  <si>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</si>
  <si>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</si>
  <si>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</si>
  <si>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</si>
  <si>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</si>
  <si>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</si>
  <si>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</si>
  <si>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</si>
  <si>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</si>
  <si>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</si>
  <si>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</si>
  <si>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</si>
  <si>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</si>
  <si>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</si>
  <si>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</si>
  <si>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</si>
  <si>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</si>
  <si>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</si>
  <si>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</si>
  <si>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</si>
  <si>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</si>
  <si>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</si>
  <si>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</si>
  <si>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</si>
  <si>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</si>
  <si>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</si>
  <si>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</si>
  <si>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</si>
  <si>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</si>
  <si>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</si>
  <si>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</si>
  <si>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</si>
  <si>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</si>
  <si>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</si>
  <si>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</si>
  <si>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</si>
  <si>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</si>
  <si>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</si>
  <si>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</si>
  <si>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</si>
  <si>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</si>
  <si>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</si>
  <si>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</si>
  <si>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</si>
  <si>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</si>
  <si>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</si>
  <si>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</si>
  <si>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</si>
  <si>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</si>
  <si>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</si>
  <si>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</si>
  <si>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</si>
  <si>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</si>
  <si>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</si>
  <si>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</si>
  <si>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</si>
  <si>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</si>
  <si>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</si>
  <si>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</si>
  <si>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</si>
  <si>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</si>
  <si>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</si>
  <si>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</si>
  <si>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</si>
  <si>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</si>
  <si>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</si>
  <si>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</si>
  <si>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</si>
  <si>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</si>
  <si>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</si>
  <si>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</si>
  <si>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</si>
  <si>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</si>
  <si>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</si>
  <si>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</si>
  <si>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</si>
  <si>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</si>
  <si>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</si>
  <si>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</si>
  <si>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</si>
  <si>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</si>
  <si>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</si>
  <si>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</si>
  <si>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</si>
  <si>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</si>
  <si>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</si>
  <si>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</si>
  <si>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</si>
  <si>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</si>
  <si>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</si>
  <si>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</si>
  <si>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</si>
  <si>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</si>
  <si>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</si>
  <si>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</si>
  <si>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</si>
  <si>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</si>
  <si>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</si>
  <si>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</si>
  <si>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</si>
  <si>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</si>
  <si>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</si>
  <si>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</si>
  <si>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</si>
  <si>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</si>
  <si>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</si>
  <si>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</si>
  <si>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</si>
  <si>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</si>
  <si>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</si>
  <si>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</si>
  <si>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</si>
  <si>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</si>
  <si>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</si>
  <si>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</si>
  <si>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</si>
  <si>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</si>
  <si>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</si>
  <si>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</si>
  <si>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</si>
  <si>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</si>
  <si>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</si>
  <si>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</si>
  <si>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</si>
  <si>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</si>
  <si>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</si>
  <si>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</si>
  <si>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</si>
  <si>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</si>
  <si>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</si>
  <si>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</si>
  <si>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</si>
  <si>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</si>
  <si>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</si>
  <si>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</si>
  <si>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</si>
  <si>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</si>
  <si>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</si>
  <si>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</si>
  <si>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</si>
  <si>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</si>
  <si>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</si>
  <si>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</si>
  <si>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</si>
  <si>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</si>
  <si>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</si>
  <si>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</si>
  <si>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</si>
  <si>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</si>
  <si>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</si>
  <si>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</si>
  <si>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</si>
  <si>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</si>
  <si>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</si>
  <si>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</si>
  <si>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</si>
  <si>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</si>
  <si>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</si>
  <si>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</si>
  <si>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</si>
  <si>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</si>
  <si>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</si>
  <si>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</si>
  <si>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</si>
  <si>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</si>
  <si>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</si>
  <si>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</si>
  <si>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</si>
  <si>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</si>
  <si>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</si>
  <si>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</si>
  <si>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</si>
  <si>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</si>
  <si>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</si>
  <si>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</si>
  <si>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</si>
  <si>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</si>
  <si>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</si>
  <si>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</si>
  <si>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</si>
  <si>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</si>
  <si>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</si>
  <si>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</si>
  <si>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</si>
  <si>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</si>
  <si>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</si>
  <si>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</si>
  <si>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</si>
  <si>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</si>
  <si>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</si>
  <si>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</si>
  <si>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</si>
  <si>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</si>
  <si>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</si>
  <si>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</si>
  <si>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</si>
  <si>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</si>
  <si>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</si>
  <si>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</si>
  <si>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</si>
  <si>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</si>
  <si>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</si>
  <si>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</si>
  <si>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</si>
  <si>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</si>
  <si>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</si>
  <si>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</si>
  <si>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</si>
  <si>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</si>
  <si>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</si>
  <si>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</si>
  <si>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</si>
  <si>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</si>
  <si>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</si>
  <si>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</si>
  <si>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</si>
  <si>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</si>
  <si>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</si>
  <si>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</si>
  <si>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</si>
  <si>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</si>
  <si>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</si>
  <si>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</si>
  <si>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</si>
  <si>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</si>
  <si>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</si>
  <si>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</si>
  <si>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</si>
  <si>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</si>
  <si>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</si>
  <si>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</si>
  <si>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</si>
  <si>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</si>
  <si>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</si>
  <si>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</si>
  <si>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</si>
  <si>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</si>
  <si>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</si>
  <si>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</si>
  <si>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</si>
  <si>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</si>
  <si>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</si>
  <si>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</si>
  <si>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</si>
  <si>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</si>
  <si>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</si>
  <si>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</si>
  <si>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</si>
  <si>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</si>
  <si>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</si>
  <si>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</si>
  <si>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</si>
  <si>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</si>
  <si>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</si>
  <si>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</si>
  <si>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</si>
  <si>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</si>
  <si>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</si>
  <si>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</si>
  <si>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</si>
  <si>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</si>
  <si>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</si>
  <si>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</si>
  <si>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</si>
  <si>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</si>
  <si>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</si>
  <si>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</si>
  <si>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</si>
  <si>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</si>
  <si>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</si>
  <si>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</si>
  <si>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</si>
  <si>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</si>
  <si>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</si>
  <si>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</si>
  <si>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</si>
  <si>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</si>
  <si>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</si>
  <si>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</si>
  <si>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</si>
  <si>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</si>
  <si>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</si>
  <si>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</si>
  <si>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</si>
  <si>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</si>
  <si>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</si>
  <si>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</si>
  <si>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</si>
  <si>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</si>
  <si>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</si>
  <si>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</si>
  <si>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</si>
  <si>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</si>
  <si>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</si>
  <si>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</si>
  <si>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</si>
  <si>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</si>
  <si>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</si>
  <si>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</si>
  <si>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</si>
  <si>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</si>
  <si>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</si>
  <si>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</si>
  <si>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</si>
  <si>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</si>
  <si>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</si>
  <si>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</si>
  <si>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</si>
  <si>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</si>
  <si>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</si>
  <si>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</si>
  <si>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</si>
  <si>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</si>
  <si>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</si>
  <si>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</si>
  <si>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</si>
  <si>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</si>
  <si>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</si>
  <si>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</si>
  <si>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</si>
  <si>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</si>
  <si>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</si>
  <si>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</si>
  <si>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</si>
  <si>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</si>
  <si>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</si>
  <si>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</si>
  <si>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</si>
  <si>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</si>
  <si>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</si>
  <si>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</si>
  <si>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</si>
  <si>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</si>
  <si>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</si>
  <si>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</si>
  <si>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</si>
  <si>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</si>
  <si>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</si>
  <si>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</si>
  <si>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</si>
  <si>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</si>
  <si>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</si>
  <si>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</si>
  <si>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</si>
  <si>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</si>
  <si>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</si>
  <si>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</si>
  <si>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</si>
  <si>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</si>
  <si>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</si>
  <si>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</si>
  <si>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</si>
  <si>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</si>
  <si>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</si>
  <si>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</si>
  <si>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</si>
  <si>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</si>
  <si>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</si>
  <si>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</si>
  <si>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</si>
  <si>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</si>
  <si>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</si>
  <si>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</si>
  <si>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</si>
  <si>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</si>
  <si>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</si>
  <si>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</si>
  <si>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</si>
  <si>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</si>
  <si>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</si>
  <si>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</si>
  <si>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</si>
  <si>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</si>
  <si>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</si>
  <si>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</si>
  <si>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</si>
  <si>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</si>
  <si>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</si>
  <si>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</si>
  <si>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</si>
  <si>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</si>
  <si>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</si>
  <si>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</si>
  <si>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</si>
  <si>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</si>
  <si>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</si>
  <si>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</si>
  <si>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</si>
  <si>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</si>
  <si>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</si>
  <si>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</si>
  <si>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</si>
  <si>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</si>
  <si>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</si>
  <si>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</si>
  <si>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</si>
  <si>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</si>
  <si>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</si>
  <si>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</si>
  <si>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</si>
  <si>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</si>
  <si>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</si>
  <si>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</si>
  <si>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</si>
  <si>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</si>
  <si>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</si>
  <si>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</si>
  <si>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</si>
  <si>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</si>
  <si>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</si>
  <si>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</si>
  <si>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</si>
  <si>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</si>
  <si>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</si>
  <si>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</si>
  <si>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</si>
  <si>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</si>
  <si>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</si>
  <si>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</si>
  <si>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</si>
  <si>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</si>
  <si>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</si>
  <si>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</si>
  <si>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</si>
  <si>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</si>
  <si>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</si>
  <si>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</si>
  <si>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</si>
  <si>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</si>
  <si>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</si>
  <si>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</si>
  <si>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</si>
  <si>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</si>
  <si>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</si>
  <si>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</si>
  <si>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</si>
  <si>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</si>
  <si>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</si>
  <si>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</si>
  <si>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</si>
  <si>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</si>
  <si>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</si>
  <si>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</si>
  <si>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</si>
  <si>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</si>
  <si>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</si>
  <si>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</si>
  <si>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</si>
  <si>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</si>
  <si>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</si>
  <si>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</si>
  <si>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</si>
  <si>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</si>
  <si>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</si>
  <si>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</si>
  <si>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</si>
  <si>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</si>
  <si>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</si>
  <si>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</si>
  <si>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</si>
  <si>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</si>
  <si>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</si>
  <si>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</si>
  <si>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</si>
  <si>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</si>
  <si>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</si>
  <si>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</si>
  <si>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</si>
  <si>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</si>
  <si>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</si>
  <si>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</si>
  <si>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</si>
  <si>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</si>
  <si>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</si>
  <si>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</si>
  <si>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</si>
  <si>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</si>
  <si>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</si>
  <si>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</si>
  <si>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</si>
  <si>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</si>
  <si>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</si>
  <si>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</si>
  <si>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</si>
  <si>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</si>
  <si>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</si>
  <si>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</si>
  <si>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</si>
  <si>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</si>
  <si>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</si>
  <si>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</si>
  <si>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</si>
  <si>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</si>
  <si>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</si>
  <si>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</si>
  <si>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</si>
  <si>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</si>
  <si>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</si>
  <si>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</si>
  <si>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</si>
  <si>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</si>
  <si>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</si>
  <si>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</si>
  <si>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</si>
  <si>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</si>
  <si>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</si>
  <si>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</si>
  <si>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</si>
  <si>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</si>
  <si>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</si>
  <si>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</si>
  <si>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</si>
  <si>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</si>
  <si>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</si>
  <si>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</si>
  <si>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</si>
  <si>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</si>
  <si>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</si>
  <si>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</si>
  <si>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</si>
  <si>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</si>
  <si>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</si>
  <si>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</si>
  <si>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</si>
  <si>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</si>
  <si>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</si>
  <si>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</si>
  <si>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</si>
  <si>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</si>
  <si>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</si>
  <si>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</si>
  <si>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</si>
  <si>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</si>
  <si>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</si>
  <si>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</si>
  <si>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</si>
  <si>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</si>
  <si>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</si>
  <si>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</si>
  <si>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</si>
  <si>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</si>
  <si>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</si>
  <si>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</si>
  <si>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</si>
  <si>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</si>
  <si>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</si>
  <si>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</si>
  <si>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</si>
  <si>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</si>
  <si>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</si>
  <si>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</si>
  <si>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</si>
  <si>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</si>
  <si>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</si>
  <si>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</si>
  <si>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</si>
  <si>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</si>
  <si>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</si>
  <si>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</si>
  <si>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</si>
  <si>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</si>
  <si>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</si>
  <si>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</si>
  <si>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</si>
  <si>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</si>
  <si>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</si>
  <si>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</si>
  <si>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</si>
  <si>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</si>
  <si>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</si>
  <si>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</si>
  <si>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</si>
  <si>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</si>
  <si>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</si>
  <si>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</si>
  <si>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</si>
  <si>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</si>
  <si>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</si>
  <si>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</si>
  <si>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</si>
  <si>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</si>
  <si>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</si>
  <si>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</si>
  <si>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</si>
  <si>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</si>
  <si>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</si>
  <si>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</si>
  <si>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</si>
  <si>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</si>
  <si>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</si>
  <si>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</si>
  <si>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</si>
  <si>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</si>
  <si>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</si>
  <si>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</si>
  <si>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</si>
  <si>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</si>
  <si>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</si>
  <si>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</si>
  <si>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</si>
  <si>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</si>
  <si>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</si>
  <si>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</si>
  <si>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</si>
  <si>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</si>
  <si>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</si>
  <si>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</si>
  <si>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</si>
  <si>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</si>
  <si>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</si>
  <si>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</si>
  <si>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</si>
  <si>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</si>
  <si>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</si>
  <si>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</si>
  <si>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</si>
  <si>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</si>
  <si>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</si>
  <si>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</si>
  <si>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</si>
  <si>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</si>
  <si>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</si>
  <si>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</si>
  <si>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</si>
  <si>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</si>
  <si>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</si>
  <si>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</si>
  <si>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</si>
  <si>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</si>
  <si>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</si>
  <si>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</si>
  <si>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</si>
  <si>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</si>
  <si>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</si>
  <si>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</si>
  <si>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</si>
  <si>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</si>
  <si>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</si>
  <si>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</si>
  <si>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</si>
  <si>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</si>
  <si>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</si>
  <si>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</si>
  <si>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</si>
  <si>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</si>
  <si>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</si>
  <si>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</si>
  <si>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</si>
  <si>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</si>
  <si>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</si>
  <si>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</si>
  <si>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</si>
  <si>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</si>
  <si>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</si>
  <si>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</si>
  <si>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</si>
  <si>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</si>
  <si>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</si>
  <si>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</si>
  <si>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</si>
  <si>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</si>
  <si>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</si>
  <si>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</si>
  <si>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</si>
  <si>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</si>
  <si>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</si>
  <si>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</si>
  <si>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</si>
  <si>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</si>
  <si>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</si>
  <si>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</si>
  <si>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</si>
  <si>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</si>
  <si>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</si>
  <si>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</si>
  <si>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</si>
  <si>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</si>
  <si>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</si>
  <si>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</si>
  <si>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</si>
  <si>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</si>
  <si>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</si>
  <si>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</si>
  <si>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</si>
  <si>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</si>
  <si>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</si>
  <si>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</si>
  <si>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</si>
  <si>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</si>
  <si>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</si>
  <si>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</si>
  <si>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</si>
  <si>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</si>
  <si>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</si>
  <si>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</si>
  <si>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</si>
  <si>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</si>
  <si>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</si>
  <si>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</si>
  <si>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</si>
  <si>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</si>
  <si>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</si>
  <si>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</si>
  <si>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</si>
  <si>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</si>
  <si>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</si>
  <si>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</si>
  <si>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</si>
  <si>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</si>
  <si>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</si>
  <si>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</si>
  <si>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</si>
  <si>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</si>
  <si>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</si>
  <si>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</si>
  <si>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</si>
  <si>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</si>
  <si>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</si>
  <si>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</si>
  <si>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</si>
  <si>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</si>
  <si>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</si>
  <si>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</si>
  <si>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</si>
  <si>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</si>
  <si>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</si>
  <si>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</si>
  <si>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</si>
  <si>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</si>
  <si>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</si>
  <si>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</si>
  <si>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</si>
  <si>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</si>
  <si>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</si>
  <si>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</si>
  <si>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</si>
  <si>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</si>
  <si>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</si>
  <si>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</si>
  <si>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</si>
  <si>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</si>
  <si>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</si>
  <si>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</si>
  <si>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</si>
  <si>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</si>
  <si>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</si>
  <si>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</si>
  <si>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</si>
  <si>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</si>
  <si>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</si>
  <si>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</si>
  <si>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</si>
  <si>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</si>
  <si>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</si>
  <si>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</si>
  <si>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</si>
  <si>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</si>
  <si>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</si>
  <si>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</si>
  <si>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</si>
  <si>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</si>
  <si>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</si>
  <si>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</si>
  <si>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</si>
  <si>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</si>
  <si>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</si>
  <si>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</si>
  <si>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</si>
  <si>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</si>
  <si>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</si>
  <si>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</si>
  <si>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</si>
  <si>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</si>
  <si>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</si>
  <si>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</si>
  <si>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</si>
  <si>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</si>
  <si>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</si>
  <si>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</si>
  <si>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</si>
  <si>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</si>
  <si>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</si>
  <si>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</si>
  <si>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</si>
  <si>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</si>
  <si>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</si>
  <si>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</si>
  <si>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</si>
  <si>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</si>
  <si>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</si>
  <si>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</si>
  <si>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</si>
  <si>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</si>
  <si>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</si>
  <si>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</si>
  <si>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</si>
  <si>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</si>
  <si>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</si>
  <si>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</si>
  <si>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</si>
  <si>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</si>
  <si>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</si>
  <si>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</si>
  <si>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</si>
  <si>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</si>
  <si>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</si>
  <si>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</si>
  <si>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</si>
  <si>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</si>
  <si>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</si>
  <si>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</si>
  <si>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</si>
  <si>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</si>
  <si>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</si>
  <si>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</si>
  <si>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</si>
  <si>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</si>
  <si>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</si>
  <si>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</si>
  <si>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</si>
  <si>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</si>
  <si>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</si>
  <si>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</si>
  <si>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</si>
  <si>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</si>
  <si>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</si>
  <si>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</si>
  <si>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</si>
  <si>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</si>
  <si>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</si>
  <si>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</si>
  <si>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</si>
  <si>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</si>
  <si>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</si>
  <si>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</si>
  <si>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</si>
  <si>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</si>
  <si>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</si>
  <si>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</si>
  <si>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</si>
  <si>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</si>
  <si>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</si>
  <si>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</si>
  <si>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</si>
  <si>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</si>
  <si>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</si>
  <si>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</si>
  <si>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</si>
  <si>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</si>
  <si>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</si>
  <si>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</si>
  <si>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</si>
  <si>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</si>
  <si>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</si>
  <si>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</si>
  <si>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</si>
  <si>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</si>
  <si>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</si>
  <si>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</si>
  <si>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</si>
  <si>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</si>
  <si>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</si>
  <si>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</si>
  <si>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</si>
  <si>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</si>
  <si>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</si>
  <si>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</si>
  <si>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</si>
  <si>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</si>
  <si>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</si>
  <si>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</si>
  <si>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</si>
  <si>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</si>
  <si>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</si>
  <si>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</si>
  <si>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</si>
  <si>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</si>
  <si>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</si>
  <si>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</si>
  <si>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</si>
  <si>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</si>
  <si>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</si>
  <si>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</si>
  <si>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</si>
  <si>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</si>
  <si>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</si>
  <si>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</si>
  <si>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</si>
  <si>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</si>
  <si>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</si>
  <si>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</si>
  <si>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</si>
  <si>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</si>
  <si>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</si>
  <si>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</si>
  <si>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</si>
  <si>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</si>
  <si>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</si>
  <si>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</si>
  <si>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</si>
  <si>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</si>
  <si>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</si>
  <si>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</si>
  <si>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</si>
  <si>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</si>
  <si>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</si>
  <si>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</si>
  <si>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</si>
  <si>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</si>
  <si>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</si>
  <si>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</si>
  <si>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</si>
  <si>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</si>
  <si>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</si>
  <si>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</si>
  <si>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</si>
  <si>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</si>
  <si>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</si>
  <si>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</si>
  <si>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</si>
  <si>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</si>
  <si>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</si>
  <si>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</si>
  <si>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</si>
  <si>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</si>
  <si>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</si>
  <si>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</si>
  <si>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</si>
  <si>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</si>
  <si>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</si>
  <si>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</si>
  <si>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</si>
  <si>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</si>
  <si>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</si>
  <si>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</si>
  <si>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</si>
  <si>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</si>
  <si>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</si>
  <si>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</si>
  <si>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</si>
  <si>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</si>
  <si>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</si>
  <si>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</si>
  <si>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</si>
  <si>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</si>
  <si>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</si>
  <si>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</si>
  <si>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</si>
  <si>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</si>
  <si>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</si>
  <si>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</si>
  <si>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</si>
  <si>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</si>
  <si>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</si>
  <si>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</si>
  <si>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</si>
  <si>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</si>
  <si>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</si>
  <si>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</si>
  <si>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</si>
  <si>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</si>
  <si>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</si>
  <si>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</si>
  <si>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</si>
  <si>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</si>
  <si>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</si>
  <si>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</si>
  <si>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</si>
  <si>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</si>
  <si>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</si>
  <si>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</si>
  <si>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</si>
  <si>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</si>
  <si>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</si>
  <si>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</si>
  <si>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</si>
  <si>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</si>
  <si>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</si>
  <si>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</si>
  <si>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</si>
  <si>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</si>
  <si>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</si>
  <si>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</si>
  <si>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</si>
  <si>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</si>
  <si>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</si>
  <si>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</si>
  <si>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</si>
  <si>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</si>
  <si>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</si>
  <si>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</si>
  <si>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</si>
  <si>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</si>
  <si>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</si>
  <si>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</si>
  <si>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</si>
  <si>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</si>
  <si>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</si>
  <si>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</si>
  <si>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</si>
  <si>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</si>
  <si>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</si>
  <si>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</si>
  <si>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</si>
  <si>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</si>
  <si>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</si>
  <si>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</si>
  <si>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</si>
  <si>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</si>
  <si>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</si>
  <si>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</si>
  <si>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</si>
  <si>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</si>
  <si>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</si>
  <si>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</si>
  <si>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</si>
  <si>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</si>
  <si>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</si>
  <si>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</si>
  <si>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</si>
  <si>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</si>
  <si>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</si>
  <si>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</si>
  <si>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</si>
  <si>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</si>
  <si>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</si>
  <si>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</si>
  <si>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</si>
  <si>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</si>
  <si>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</si>
  <si>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</si>
  <si>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</si>
  <si>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</si>
  <si>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</si>
  <si>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</si>
  <si>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</si>
  <si>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</si>
  <si>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</si>
  <si>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</si>
  <si>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</si>
  <si>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</si>
  <si>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</si>
  <si>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</si>
  <si>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</si>
  <si>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</si>
  <si>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</si>
  <si>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</si>
  <si>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</si>
  <si>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</si>
  <si>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</si>
  <si>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</si>
  <si>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</si>
  <si>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</si>
  <si>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</si>
  <si>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</si>
  <si>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</si>
  <si>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</si>
  <si>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</si>
  <si>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</si>
  <si>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</si>
  <si>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</si>
  <si>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</si>
  <si>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</si>
  <si>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</si>
  <si>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</si>
  <si>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</si>
  <si>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</si>
  <si>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</si>
  <si>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</si>
  <si>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</si>
  <si>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</si>
  <si>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</si>
  <si>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</si>
  <si>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</si>
  <si>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</si>
  <si>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</si>
  <si>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</si>
  <si>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</si>
  <si>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</si>
  <si>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</si>
  <si>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</si>
  <si>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</si>
  <si>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</si>
  <si>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</si>
  <si>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</si>
  <si>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</si>
  <si>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</si>
  <si>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</si>
  <si>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</si>
  <si>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</si>
  <si>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</si>
  <si>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</si>
  <si>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</si>
  <si>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</si>
  <si>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</si>
  <si>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</si>
  <si>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</si>
  <si>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</si>
  <si>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</si>
  <si>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</si>
  <si>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</si>
  <si>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</si>
  <si>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</si>
  <si>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</si>
  <si>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</si>
  <si>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</si>
  <si>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</si>
  <si>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</si>
  <si>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</si>
  <si>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</si>
  <si>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</si>
  <si>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</si>
  <si>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</si>
  <si>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</si>
  <si>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</si>
  <si>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</si>
  <si>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</si>
  <si>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</si>
  <si>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</si>
  <si>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</si>
  <si>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</si>
  <si>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</si>
  <si>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</si>
  <si>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</si>
  <si>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</si>
  <si>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</si>
  <si>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</si>
  <si>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</si>
  <si>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</si>
  <si>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</si>
  <si>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</si>
  <si>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</si>
  <si>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</si>
  <si>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</si>
  <si>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</si>
  <si>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</si>
  <si>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</si>
  <si>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</si>
  <si>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</si>
  <si>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</si>
  <si>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</si>
  <si>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</si>
  <si>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</si>
  <si>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</si>
  <si>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</si>
  <si>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</si>
  <si>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</si>
  <si>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</si>
  <si>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</si>
  <si>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</si>
  <si>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</si>
  <si>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</si>
  <si>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</si>
  <si>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</si>
  <si>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</si>
  <si>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</si>
  <si>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</si>
  <si>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</si>
  <si>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</si>
  <si>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</si>
  <si>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</si>
  <si>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</si>
  <si>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</si>
  <si>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</si>
  <si>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</si>
  <si>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</si>
  <si>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</si>
  <si>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</si>
  <si>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</si>
  <si>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</si>
  <si>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</si>
  <si>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</si>
  <si>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</si>
  <si>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</si>
  <si>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</si>
  <si>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</si>
  <si>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</si>
  <si>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</si>
  <si>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</si>
  <si>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</si>
  <si>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</si>
  <si>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</si>
  <si>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</si>
  <si>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</si>
  <si>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</si>
  <si>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</si>
  <si>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</si>
  <si>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</si>
  <si>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</si>
  <si>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</si>
  <si>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</si>
  <si>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</si>
  <si>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</si>
  <si>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</si>
  <si>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</si>
  <si>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</si>
  <si>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</si>
  <si>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</si>
  <si>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</si>
  <si>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</si>
  <si>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</si>
  <si>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</si>
  <si>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</si>
  <si>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</si>
  <si>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</si>
  <si>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</si>
  <si>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</si>
  <si>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</si>
  <si>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</si>
  <si>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</si>
  <si>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</si>
  <si>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</si>
  <si>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</si>
  <si>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</si>
  <si>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</si>
  <si>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</si>
  <si>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</si>
  <si>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</si>
  <si>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</si>
  <si>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</si>
  <si>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</si>
  <si>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</si>
  <si>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</si>
  <si>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</si>
  <si>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</si>
  <si>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</si>
  <si>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</si>
  <si>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</si>
  <si>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</si>
  <si>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</si>
  <si>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</si>
  <si>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</si>
  <si>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</si>
  <si>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</si>
  <si>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</si>
  <si>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</si>
  <si>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</si>
  <si>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</si>
  <si>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</si>
  <si>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</si>
  <si>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</si>
  <si>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</si>
  <si>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</si>
  <si>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</si>
  <si>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</si>
  <si>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</si>
  <si>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</si>
  <si>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</si>
  <si>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</si>
  <si>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</si>
  <si>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</si>
  <si>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</si>
  <si>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</si>
  <si>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</si>
  <si>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</si>
  <si>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</si>
  <si>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</si>
  <si>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</si>
  <si>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</si>
  <si>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</si>
  <si>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</si>
  <si>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</si>
  <si>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</si>
  <si>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</si>
  <si>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</si>
  <si>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</si>
  <si>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</si>
  <si>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</si>
  <si>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</si>
  <si>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</si>
  <si>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</si>
  <si>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</si>
  <si>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</si>
  <si>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</si>
  <si>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</si>
  <si>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</si>
  <si>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</si>
  <si>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</si>
  <si>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</si>
  <si>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</si>
  <si>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</si>
  <si>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</si>
  <si>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</si>
  <si>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</si>
  <si>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</si>
  <si>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</si>
  <si>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</si>
  <si>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</si>
  <si>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</si>
  <si>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</si>
  <si>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</si>
  <si>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</si>
  <si>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</si>
  <si>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</si>
  <si>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</si>
  <si>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</si>
  <si>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</si>
  <si>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</si>
  <si>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</si>
  <si>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</si>
  <si>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</si>
  <si>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</si>
  <si>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</si>
  <si>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</si>
  <si>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</si>
  <si>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</si>
  <si>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</si>
  <si>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</si>
  <si>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</si>
  <si>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</si>
  <si>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</si>
  <si>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</si>
  <si>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</si>
  <si>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</si>
  <si>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</si>
  <si>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</si>
  <si>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</si>
  <si>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</si>
  <si>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</si>
  <si>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</si>
  <si>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</si>
  <si>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</si>
  <si>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</si>
  <si>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</si>
  <si>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</si>
  <si>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</si>
  <si>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</si>
  <si>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</si>
  <si>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в постановление агентства по тарифам Приморского края от 20.12.2023 №71/10 ; от 05.12.2024 №53/9</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</si>
  <si>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</si>
  <si>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</si>
  <si>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</si>
  <si>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</si>
  <si>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</si>
  <si>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</si>
  <si>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</si>
  <si>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</si>
  <si>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</si>
  <si>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</si>
  <si>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</si>
  <si>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</si>
  <si>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</si>
  <si>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</si>
  <si>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</si>
  <si>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</si>
  <si>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</si>
  <si>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</si>
  <si>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</si>
  <si>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</si>
  <si>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</si>
  <si>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</si>
  <si>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</si>
  <si>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</si>
  <si>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</si>
  <si>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</si>
  <si>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</si>
  <si>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</si>
  <si>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</si>
  <si>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</si>
  <si>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</si>
  <si>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</si>
  <si>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</si>
  <si>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</si>
  <si>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</si>
  <si>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</si>
  <si>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</si>
  <si>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</si>
  <si>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</si>
  <si>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</si>
  <si>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</si>
  <si>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</si>
  <si>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</si>
  <si>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</si>
  <si>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</si>
  <si>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</si>
  <si>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</si>
  <si>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</si>
  <si>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</si>
  <si>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</si>
  <si>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</si>
  <si>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</si>
  <si>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</si>
  <si>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</si>
  <si>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</si>
  <si>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</si>
  <si>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</si>
  <si>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</si>
  <si>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</si>
  <si>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</si>
  <si>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</si>
  <si>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</si>
  <si>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</si>
  <si>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</si>
  <si>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</si>
  <si>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</si>
  <si>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</si>
  <si>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</si>
  <si>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</si>
  <si>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</si>
  <si>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</si>
  <si>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</si>
  <si>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</si>
  <si>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</si>
  <si>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</si>
  <si>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</si>
  <si>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</si>
  <si>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</si>
  <si>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</si>
  <si>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</si>
  <si>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</si>
  <si>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</si>
  <si>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</si>
  <si>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</si>
  <si>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</si>
  <si>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</si>
  <si>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</si>
  <si>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</si>
  <si>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</si>
  <si>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</si>
  <si>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</si>
  <si>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</si>
  <si>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</si>
  <si>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</si>
  <si>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</si>
  <si>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</si>
  <si>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</si>
  <si>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</si>
  <si>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</si>
  <si>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</si>
  <si>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</si>
  <si>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</si>
  <si>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</si>
  <si>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</si>
  <si>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</si>
  <si>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</si>
  <si>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</si>
  <si>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</si>
  <si>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</si>
  <si>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</si>
  <si>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</si>
  <si>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</si>
  <si>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</si>
  <si>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</si>
  <si>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</si>
  <si>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</si>
  <si>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</si>
  <si>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</si>
  <si>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</si>
  <si>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</si>
  <si>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</si>
  <si>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</si>
  <si>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</si>
  <si>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</si>
  <si>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</si>
  <si>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</si>
  <si>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</si>
  <si>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</si>
  <si>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</si>
  <si>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</si>
  <si>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</si>
  <si>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</si>
  <si>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</si>
  <si>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</si>
  <si>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</si>
  <si>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</si>
  <si>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</si>
  <si>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</si>
  <si>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</si>
  <si>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</si>
  <si>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</si>
  <si>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</si>
  <si>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</si>
  <si>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</si>
  <si>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</si>
  <si>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</si>
  <si>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</si>
  <si>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</si>
  <si>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</si>
  <si>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</si>
  <si>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</si>
  <si>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</si>
  <si>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</si>
  <si>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</si>
  <si>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</si>
  <si>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</si>
  <si>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</si>
  <si>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</si>
  <si>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</si>
  <si>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</si>
  <si>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</si>
  <si>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</si>
  <si>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</si>
  <si>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</si>
  <si>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</si>
  <si>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</si>
  <si>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</si>
  <si>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</si>
  <si>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</si>
  <si>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</si>
  <si>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</si>
  <si>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</si>
  <si>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</si>
  <si>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</si>
  <si>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</si>
  <si>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</si>
  <si>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</si>
  <si>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</si>
  <si>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</si>
  <si>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</si>
  <si>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</si>
  <si>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</si>
  <si>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</si>
  <si>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</si>
  <si>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</si>
  <si>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</si>
  <si>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</si>
  <si>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</si>
  <si>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</si>
  <si>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</si>
  <si>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</si>
  <si>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</si>
  <si>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</si>
  <si>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</si>
  <si>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</si>
  <si>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</si>
  <si>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</si>
  <si>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</si>
  <si>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</si>
  <si>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</si>
  <si>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</si>
  <si>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</si>
  <si>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</si>
  <si>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</si>
  <si>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</si>
  <si>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</si>
  <si>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</si>
  <si>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</si>
  <si>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</si>
  <si>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</si>
  <si>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</si>
  <si>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</si>
  <si>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</si>
  <si>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</si>
  <si>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</si>
  <si>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</si>
  <si>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</si>
  <si>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</si>
  <si>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</si>
  <si>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</si>
  <si>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</si>
  <si>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</si>
  <si>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</si>
  <si>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</si>
  <si>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</si>
  <si>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</si>
  <si>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</si>
  <si>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</si>
  <si>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</si>
  <si>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</si>
  <si>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</si>
  <si>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</si>
  <si>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</si>
  <si>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</si>
  <si>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</si>
  <si>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</si>
  <si>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</si>
  <si>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</si>
  <si>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</si>
  <si>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</si>
  <si>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</si>
  <si>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</si>
  <si>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</si>
  <si>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</si>
  <si>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</si>
  <si>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</si>
  <si>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</si>
  <si>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</si>
  <si>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</si>
  <si>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</si>
  <si>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</si>
  <si>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</si>
  <si>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</si>
  <si>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</si>
  <si>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</si>
  <si>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</si>
  <si>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</si>
  <si>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</si>
  <si>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</si>
  <si>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</si>
  <si>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</si>
  <si>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</si>
  <si>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</si>
  <si>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</si>
  <si>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</si>
  <si>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</si>
  <si>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</si>
  <si>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</si>
  <si>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</si>
  <si>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</si>
  <si>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</si>
  <si>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</si>
  <si>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</si>
  <si>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</si>
  <si>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</si>
  <si>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</si>
  <si>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</si>
  <si>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</si>
  <si>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</si>
  <si>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</si>
  <si>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</si>
  <si>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</si>
  <si>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</si>
  <si>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</si>
  <si>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</si>
  <si>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</si>
  <si>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</si>
  <si>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</si>
  <si>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</si>
  <si>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</si>
  <si>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</si>
  <si>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</si>
  <si>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</si>
  <si>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</si>
  <si>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</si>
  <si>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</si>
  <si>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</si>
  <si>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</si>
  <si>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</si>
  <si>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</si>
  <si>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</si>
  <si>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</si>
  <si>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</si>
  <si>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</si>
  <si>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</si>
  <si>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</si>
  <si>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</si>
  <si>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</si>
  <si>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</si>
  <si>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</si>
  <si>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</si>
  <si>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</si>
  <si>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</si>
  <si>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</si>
  <si>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</si>
  <si>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</si>
  <si>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</si>
  <si>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</si>
  <si>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</si>
  <si>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</si>
  <si>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</si>
  <si>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</si>
  <si>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</si>
  <si>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</si>
  <si>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</si>
  <si>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</si>
  <si>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</si>
  <si>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</si>
  <si>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</si>
  <si>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</si>
  <si>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</si>
  <si>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</si>
  <si>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</si>
  <si>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</si>
  <si>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</si>
  <si>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</si>
  <si>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</si>
  <si>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</si>
  <si>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</si>
  <si>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</si>
  <si>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</si>
  <si>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</si>
  <si>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</si>
  <si>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</si>
  <si>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</si>
  <si>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</si>
  <si>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</si>
  <si>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</si>
  <si>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</si>
  <si>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</si>
  <si>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</si>
  <si>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</si>
  <si>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</si>
  <si>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</si>
  <si>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</si>
  <si>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</si>
  <si>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</si>
  <si>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</si>
  <si>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</si>
  <si>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</si>
  <si>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</si>
  <si>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</si>
  <si>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</si>
  <si>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</si>
  <si>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</si>
  <si>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</si>
  <si>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</si>
  <si>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</si>
  <si>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</si>
  <si>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</si>
  <si>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</si>
  <si>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</si>
  <si>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</si>
  <si>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</si>
  <si>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</si>
  <si>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</si>
  <si>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</si>
  <si>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</si>
  <si>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</si>
  <si>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</si>
  <si>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</si>
  <si>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</si>
  <si>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</si>
  <si>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</si>
  <si>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</si>
  <si>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</si>
  <si>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</si>
  <si>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</si>
  <si>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</si>
  <si>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</si>
  <si>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</si>
  <si>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</si>
  <si>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</si>
  <si>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</si>
  <si>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</si>
  <si>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</si>
  <si>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</si>
  <si>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</si>
  <si>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</si>
  <si>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</si>
  <si>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</si>
  <si>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</si>
  <si>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</si>
  <si>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</si>
  <si>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</si>
  <si>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</si>
  <si>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</si>
  <si>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</si>
  <si>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</si>
  <si>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</si>
  <si>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</si>
  <si>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</si>
  <si>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</si>
  <si>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</si>
  <si>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</si>
  <si>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</si>
  <si>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</si>
  <si>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</si>
  <si>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</si>
  <si>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</si>
  <si>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</si>
  <si>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</si>
  <si>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</si>
  <si>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</si>
  <si>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</si>
  <si>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</si>
  <si>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</si>
  <si>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</si>
  <si>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</si>
  <si>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</si>
  <si>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</si>
  <si>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</si>
  <si>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</si>
  <si>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</si>
  <si>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</si>
  <si>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</si>
  <si>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</si>
  <si>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</si>
  <si>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</si>
  <si>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</si>
  <si>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</si>
  <si>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</si>
  <si>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</si>
  <si>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</si>
  <si>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</si>
  <si>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</si>
  <si>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</si>
  <si>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</si>
  <si>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</si>
  <si>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</si>
  <si>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</si>
  <si>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</si>
  <si>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</si>
  <si>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</si>
  <si>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</si>
  <si>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</si>
  <si>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</si>
  <si>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</si>
  <si>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</si>
  <si>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</si>
  <si>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</si>
  <si>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</si>
  <si>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</si>
  <si>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</si>
  <si>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</si>
  <si>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</si>
  <si>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</si>
  <si>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</si>
  <si>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</si>
  <si>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</si>
  <si>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</si>
  <si>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</si>
  <si>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</si>
  <si>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</si>
  <si>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</si>
  <si>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</si>
  <si>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</si>
  <si>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</si>
  <si>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</si>
  <si>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</si>
  <si>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</si>
  <si>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</si>
  <si>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</si>
  <si>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</si>
  <si>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</si>
  <si>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</si>
  <si>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</si>
  <si>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</si>
  <si>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</si>
  <si>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</si>
  <si>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</si>
  <si>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</si>
  <si>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</si>
  <si>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</si>
  <si>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</si>
  <si>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</si>
  <si>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</si>
  <si>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</si>
  <si>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</si>
  <si>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</si>
  <si>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</si>
  <si>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</si>
  <si>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</si>
  <si>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</si>
  <si>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</si>
  <si>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</si>
  <si>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</si>
  <si>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</si>
  <si>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</si>
  <si>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</si>
  <si>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</si>
  <si>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</si>
  <si>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</si>
  <si>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</si>
  <si>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</si>
  <si>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</si>
  <si>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</si>
  <si>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</si>
  <si>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</si>
  <si>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</si>
  <si>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</si>
  <si>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</si>
  <si>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</si>
  <si>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</si>
  <si>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</si>
  <si>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</si>
  <si>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</si>
  <si>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</si>
  <si>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</si>
  <si>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</si>
  <si>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</si>
  <si>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</si>
  <si>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</si>
  <si>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</si>
  <si>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</si>
  <si>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</si>
  <si>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</si>
  <si>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</si>
  <si>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</si>
  <si>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</si>
  <si>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</si>
  <si>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</si>
  <si>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</si>
  <si>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</si>
  <si>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</si>
  <si>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</si>
  <si>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</si>
  <si>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</si>
  <si>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</si>
  <si>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</si>
  <si>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</si>
  <si>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</si>
  <si>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</si>
  <si>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</si>
  <si>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</si>
  <si>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</si>
  <si>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</si>
  <si>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</si>
  <si>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</si>
  <si>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</si>
  <si>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</si>
  <si>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</si>
  <si>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</si>
  <si>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</si>
  <si>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</si>
  <si>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</si>
  <si>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</si>
  <si>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</si>
  <si>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</si>
  <si>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</si>
  <si>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</si>
  <si>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</si>
  <si>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</si>
  <si>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</si>
  <si>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</si>
  <si>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</si>
  <si>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</si>
  <si>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</si>
  <si>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</si>
  <si>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</si>
  <si>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</si>
  <si>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</si>
  <si>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</si>
  <si>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</si>
  <si>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</si>
  <si>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</si>
  <si>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</si>
  <si>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</si>
  <si>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</si>
  <si>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</si>
  <si>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</si>
  <si>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</si>
  <si>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</si>
  <si>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</si>
  <si>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</si>
  <si>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</si>
  <si>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</si>
  <si>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</si>
  <si>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</si>
  <si>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</si>
  <si>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</si>
  <si>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</si>
  <si>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</si>
  <si>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</si>
  <si>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</si>
  <si>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</si>
  <si>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</si>
  <si>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</si>
  <si>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</si>
  <si>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</si>
  <si>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</si>
  <si>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</si>
  <si>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</si>
  <si>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</si>
  <si>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</si>
  <si>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</si>
  <si>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</si>
  <si>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</si>
  <si>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</si>
  <si>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</si>
  <si>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</si>
  <si>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</si>
  <si>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</si>
  <si>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</si>
  <si>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</si>
  <si>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</si>
  <si>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</si>
  <si>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</si>
  <si>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</si>
  <si>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</si>
  <si>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</si>
  <si>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</si>
  <si>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</si>
  <si>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</si>
  <si>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</si>
  <si>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</si>
  <si>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</si>
  <si>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</si>
  <si>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</si>
  <si>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</si>
  <si>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</si>
  <si>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</si>
  <si>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</si>
  <si>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</si>
  <si>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</si>
  <si>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</si>
  <si>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</si>
  <si>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</si>
  <si>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</si>
  <si>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</si>
  <si>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</si>
  <si>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</si>
  <si>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</si>
  <si>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</si>
  <si>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</si>
  <si>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</si>
  <si>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</si>
  <si>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</si>
  <si>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</si>
  <si>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</si>
  <si>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</si>
  <si>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</si>
  <si>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</si>
  <si>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</si>
  <si>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</si>
  <si>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</si>
  <si>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</si>
  <si>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</si>
  <si>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</si>
  <si>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</si>
  <si>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</si>
  <si>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</si>
  <si>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</si>
  <si>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</si>
  <si>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</si>
  <si>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</si>
  <si>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</si>
  <si>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</si>
  <si>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</si>
  <si>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</si>
  <si>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</si>
  <si>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</si>
  <si>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</si>
  <si>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</si>
  <si>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</si>
  <si>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</si>
  <si>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</si>
  <si>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</si>
  <si>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</si>
  <si>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</si>
  <si>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</si>
  <si>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</si>
  <si>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</si>
  <si>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</si>
  <si>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</si>
  <si>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</si>
  <si>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</si>
  <si>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</si>
  <si>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</si>
  <si>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</si>
  <si>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</si>
  <si>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</si>
  <si>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</si>
  <si>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</si>
  <si>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</si>
  <si>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</si>
  <si>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</si>
  <si>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</si>
  <si>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</si>
  <si>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</si>
  <si>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</si>
  <si>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</si>
  <si>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</si>
  <si>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</si>
  <si>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</si>
  <si>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</si>
  <si>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</si>
  <si>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</si>
  <si>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</si>
  <si>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</si>
  <si>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</si>
  <si>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</si>
  <si>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</si>
  <si>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</si>
  <si>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</si>
  <si>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</si>
  <si>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</si>
  <si>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</si>
  <si>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</si>
  <si>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</si>
  <si>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</si>
  <si>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</si>
  <si>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</si>
  <si>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</si>
  <si>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</si>
  <si>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</si>
  <si>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</si>
  <si>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</si>
  <si>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</si>
  <si>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</si>
  <si>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</si>
  <si>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</si>
  <si>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</si>
  <si>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</si>
  <si>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</si>
  <si>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</si>
  <si>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</si>
  <si>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</si>
  <si>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</si>
  <si>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</si>
  <si>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</si>
  <si>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</si>
  <si>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</si>
  <si>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</si>
  <si>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</si>
  <si>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</si>
  <si>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</si>
  <si>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</si>
  <si>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</si>
  <si>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</si>
  <si>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</si>
  <si>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</si>
  <si>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</si>
  <si>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</si>
  <si>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</si>
  <si>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</si>
  <si>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</si>
  <si>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</si>
  <si>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</si>
  <si>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</si>
  <si>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</si>
  <si>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</si>
  <si>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</si>
  <si>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</si>
  <si>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</si>
  <si>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</si>
  <si>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</si>
  <si>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</si>
  <si>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</si>
  <si>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</si>
  <si>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</si>
  <si>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</si>
  <si>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</si>
  <si>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</si>
  <si>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</si>
  <si>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</si>
  <si>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</si>
  <si>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</si>
  <si>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</si>
  <si>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</si>
  <si>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</si>
  <si>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</si>
  <si>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</si>
  <si>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</si>
  <si>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</si>
  <si>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</si>
  <si>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</si>
  <si>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</si>
  <si>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</si>
  <si>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</si>
  <si>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</si>
  <si>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</si>
  <si>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</si>
  <si>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</si>
  <si>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</si>
  <si>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</si>
  <si>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</si>
  <si>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</si>
  <si>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</si>
  <si>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</si>
  <si>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</si>
  <si>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</si>
  <si>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</si>
  <si>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</si>
  <si>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</si>
  <si>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</si>
  <si>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</si>
  <si>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</si>
  <si>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</si>
  <si>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</si>
  <si>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</si>
  <si>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</si>
  <si>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</si>
  <si>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</si>
  <si>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</si>
  <si>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</si>
  <si>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</si>
  <si>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</si>
  <si>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</si>
  <si>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</si>
  <si>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</si>
  <si>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</si>
  <si>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</si>
  <si>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</si>
  <si>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</si>
  <si>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</si>
  <si>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</si>
  <si>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</si>
  <si>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</si>
  <si>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</si>
  <si>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</si>
  <si>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</si>
  <si>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</si>
  <si>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</si>
  <si>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</si>
  <si>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</si>
  <si>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</si>
  <si>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</si>
  <si>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</si>
  <si>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</si>
  <si>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</si>
  <si>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</si>
  <si>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</si>
  <si>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</si>
  <si>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</si>
  <si>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</si>
  <si>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</si>
  <si>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</si>
  <si>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</si>
  <si>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</si>
  <si>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</si>
  <si>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</si>
  <si>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</si>
  <si>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</si>
  <si>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</si>
  <si>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</si>
  <si>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</si>
  <si>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</si>
  <si>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</si>
  <si>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</si>
  <si>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</si>
  <si>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</si>
  <si>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</si>
  <si>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</si>
  <si>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</si>
  <si>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</si>
  <si>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</si>
  <si>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</si>
  <si>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</si>
  <si>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</si>
  <si>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</si>
  <si>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</si>
  <si>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</si>
  <si>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</si>
  <si>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</si>
  <si>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</si>
  <si>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</si>
  <si>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</si>
  <si>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</si>
  <si>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</si>
  <si>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</si>
  <si>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</si>
  <si>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</si>
  <si>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</si>
  <si>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</si>
  <si>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</si>
  <si>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</si>
  <si>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</si>
  <si>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</si>
  <si>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</si>
  <si>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</si>
  <si>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</si>
  <si>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</si>
  <si>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</si>
  <si>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</si>
  <si>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</si>
  <si>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</si>
  <si>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</si>
  <si>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</si>
  <si>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</si>
  <si>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</si>
  <si>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</si>
  <si>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</si>
  <si>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</si>
  <si>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</si>
  <si>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</si>
  <si>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</si>
  <si>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</si>
  <si>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</si>
  <si>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</si>
  <si>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</si>
  <si>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</si>
  <si>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</si>
  <si>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</si>
  <si>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</si>
  <si>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</si>
  <si>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</si>
  <si>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</si>
  <si>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</si>
  <si>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</si>
  <si>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</si>
  <si>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</si>
  <si>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</si>
  <si>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</si>
  <si>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</si>
  <si>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</si>
  <si>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</si>
  <si>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</si>
  <si>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</si>
  <si>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</si>
  <si>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</si>
  <si>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</si>
  <si>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</si>
  <si>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</si>
  <si>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</si>
  <si>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</si>
  <si>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</si>
  <si>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</si>
  <si>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</si>
  <si>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</si>
  <si>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</si>
  <si>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</si>
  <si>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</si>
  <si>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</si>
  <si>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</si>
  <si>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</si>
  <si>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</si>
  <si>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</si>
  <si>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</si>
  <si>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</si>
  <si>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</si>
  <si>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</si>
  <si>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</si>
  <si>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</si>
  <si>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</si>
  <si>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</si>
  <si>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</si>
  <si>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</si>
  <si>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</si>
  <si>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</si>
  <si>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</si>
  <si>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</si>
  <si>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</si>
  <si>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</si>
  <si>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</si>
  <si>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</si>
  <si>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</si>
  <si>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</si>
  <si>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</si>
  <si>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</si>
  <si>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</si>
  <si>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</si>
  <si>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</si>
  <si>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</si>
  <si>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</si>
  <si>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</si>
  <si>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</si>
  <si>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</si>
  <si>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</si>
  <si>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</si>
  <si>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</si>
  <si>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</si>
  <si>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</si>
  <si>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</si>
  <si>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</si>
  <si>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</si>
  <si>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</si>
  <si>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</si>
  <si>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</si>
  <si>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</si>
  <si>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</si>
  <si>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</si>
  <si>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</si>
  <si>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</si>
  <si>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</si>
  <si>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</si>
  <si>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</si>
  <si>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</si>
  <si>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</si>
  <si>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</si>
  <si>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</si>
  <si>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</si>
  <si>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</si>
  <si>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</si>
  <si>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</si>
  <si>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</si>
  <si>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</si>
  <si>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</si>
  <si>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</si>
  <si>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</si>
  <si>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</si>
  <si>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</si>
  <si>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</si>
  <si>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</si>
  <si>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</si>
  <si>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</si>
  <si>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</si>
  <si>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</si>
  <si>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</si>
  <si>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</si>
  <si>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</si>
  <si>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</si>
  <si>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</si>
  <si>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</si>
  <si>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</si>
  <si>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</si>
  <si>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</si>
  <si>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</si>
  <si>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</si>
  <si>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</si>
  <si>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</si>
  <si>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</si>
  <si>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</si>
  <si>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</si>
  <si>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</si>
  <si>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</si>
  <si>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</si>
  <si>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</si>
  <si>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</si>
  <si>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</si>
  <si>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</si>
  <si>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</si>
  <si>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</si>
  <si>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</si>
  <si>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</si>
  <si>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</si>
  <si>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</si>
  <si>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</si>
  <si>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</si>
  <si>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</si>
  <si>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</si>
  <si>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</si>
  <si>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</si>
  <si>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</si>
  <si>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</si>
  <si>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</si>
  <si>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</si>
  <si>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</si>
  <si>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</si>
  <si>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</si>
  <si>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</si>
  <si>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</si>
  <si>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</si>
  <si>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</si>
  <si>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</si>
  <si>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</si>
  <si>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</si>
  <si>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</si>
  <si>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</si>
  <si>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</si>
  <si>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</si>
  <si>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</si>
  <si>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</si>
  <si>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</si>
  <si>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</si>
  <si>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</si>
  <si>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</si>
  <si>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</si>
  <si>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</si>
  <si>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</si>
  <si>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</si>
  <si>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</si>
  <si>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</si>
  <si>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</si>
  <si>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</si>
  <si>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</si>
  <si>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</si>
  <si>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</si>
  <si>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</si>
  <si>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</si>
  <si>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</si>
  <si>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</si>
  <si>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</si>
  <si>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</si>
  <si>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</si>
  <si>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</si>
  <si>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</si>
  <si>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</si>
  <si>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</si>
  <si>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</si>
  <si>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</si>
  <si>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</si>
  <si>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</si>
  <si>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</si>
  <si>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</si>
  <si>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</si>
  <si>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</si>
  <si>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</si>
  <si>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</si>
  <si>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</si>
  <si>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</si>
  <si>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</si>
  <si>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</si>
  <si>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</si>
  <si>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</si>
  <si>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</si>
  <si>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</si>
  <si>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</si>
  <si>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</si>
  <si>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</si>
  <si>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</si>
  <si>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</si>
  <si>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</si>
  <si>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</si>
  <si>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</si>
  <si>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</si>
  <si>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</si>
  <si>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</si>
  <si>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</si>
  <si>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</si>
  <si>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</si>
  <si>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</si>
  <si>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</si>
  <si>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</si>
  <si>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</si>
  <si>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</si>
  <si>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</si>
  <si>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</si>
  <si>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</si>
  <si>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</si>
  <si>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</si>
  <si>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</si>
  <si>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</si>
  <si>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</si>
  <si>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</si>
  <si>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</si>
  <si>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</si>
  <si>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</si>
  <si>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</si>
  <si>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</si>
  <si>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</si>
  <si>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</si>
  <si>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</si>
  <si>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</si>
  <si>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</si>
  <si>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</si>
  <si>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</si>
  <si>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</si>
  <si>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</si>
  <si>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</si>
  <si>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</si>
  <si>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</si>
  <si>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</si>
  <si>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</si>
  <si>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</si>
  <si>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</si>
  <si>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</si>
  <si>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</si>
  <si>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</si>
  <si>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</si>
  <si>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</si>
  <si>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</si>
  <si>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</si>
  <si>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</si>
  <si>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</si>
  <si>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</si>
  <si>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</si>
  <si>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</si>
  <si>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</si>
  <si>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</si>
  <si>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</si>
  <si>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</si>
  <si>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</si>
  <si>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</si>
  <si>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</si>
  <si>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</si>
  <si>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</si>
  <si>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</si>
  <si>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</si>
  <si>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</si>
  <si>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</si>
  <si>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</si>
  <si>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</si>
  <si>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</si>
  <si>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</si>
  <si>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</si>
  <si>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</si>
  <si>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</si>
  <si>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</si>
  <si>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</si>
  <si>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</si>
  <si>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</si>
  <si>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</si>
  <si>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</si>
  <si>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</si>
  <si>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</si>
  <si>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</si>
  <si>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</si>
  <si>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</si>
  <si>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</si>
  <si>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</si>
  <si>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</si>
  <si>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</si>
  <si>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</si>
  <si>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</si>
  <si>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</si>
  <si>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</si>
  <si>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</si>
  <si>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</si>
  <si>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</si>
  <si>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</si>
  <si>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</si>
  <si>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</si>
  <si>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</si>
  <si>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</si>
  <si>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</si>
  <si>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</si>
  <si>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</si>
  <si>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</si>
  <si>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</si>
  <si>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</si>
  <si>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</si>
  <si>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</si>
  <si>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</si>
  <si>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</si>
  <si>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</si>
  <si>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</si>
  <si>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</si>
  <si>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</si>
  <si>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</si>
  <si>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</si>
  <si>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</si>
  <si>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</si>
  <si>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</si>
  <si>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</si>
  <si>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</si>
  <si>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</si>
  <si>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</si>
  <si>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</si>
  <si>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</si>
  <si>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</si>
  <si>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</si>
  <si>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</si>
  <si>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</si>
  <si>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</si>
  <si>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</si>
  <si>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</si>
  <si>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</si>
  <si>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</si>
  <si>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</si>
  <si>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</si>
  <si>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</si>
  <si>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</si>
  <si>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</si>
  <si>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</si>
  <si>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</si>
  <si>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</si>
  <si>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</si>
  <si>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</si>
  <si>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</si>
  <si>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</si>
  <si>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</si>
  <si>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</si>
  <si>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</si>
  <si>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</si>
  <si>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</si>
  <si>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</si>
  <si>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</si>
  <si>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</si>
  <si>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</si>
  <si>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</si>
  <si>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</si>
  <si>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</si>
  <si>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</si>
  <si>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</si>
  <si>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</si>
  <si>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</si>
  <si>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</si>
  <si>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</si>
  <si>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</si>
  <si>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</si>
  <si>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</si>
  <si>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</si>
  <si>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</si>
  <si>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</si>
  <si>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</si>
  <si>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</si>
  <si>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</si>
  <si>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</si>
  <si>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</si>
  <si>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</si>
  <si>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</si>
  <si>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</si>
  <si>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</si>
  <si>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</si>
  <si>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</si>
  <si>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</si>
  <si>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</si>
  <si>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</si>
  <si>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</si>
  <si>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</si>
  <si>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</si>
  <si>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</si>
  <si>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</si>
  <si>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</si>
  <si>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</si>
  <si>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</si>
  <si>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</si>
  <si>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</si>
  <si>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</si>
  <si>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</si>
  <si>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</si>
  <si>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</si>
  <si>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</si>
  <si>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</si>
  <si>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</si>
  <si>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</si>
  <si>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</si>
  <si>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</si>
  <si>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</si>
  <si>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</si>
  <si>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</si>
  <si>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</si>
  <si>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</si>
  <si>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</si>
  <si>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</si>
  <si>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</si>
  <si>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</si>
  <si>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</si>
  <si>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</si>
  <si>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</si>
  <si>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</si>
  <si>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</si>
  <si>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</si>
  <si>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</si>
  <si>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</si>
  <si>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</si>
  <si>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</si>
  <si>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</si>
  <si>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</si>
  <si>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</si>
  <si>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</si>
  <si>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</si>
  <si>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</si>
  <si>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</si>
  <si>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</si>
  <si>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</si>
  <si>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</si>
  <si>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</si>
  <si>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</si>
  <si>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</si>
  <si>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</si>
  <si>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</si>
  <si>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</si>
  <si>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</si>
  <si>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</si>
  <si>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</si>
  <si>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</si>
  <si>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</si>
  <si>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</si>
  <si>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</si>
  <si>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</si>
  <si>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</si>
  <si>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</si>
  <si>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</si>
  <si>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</si>
  <si>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</si>
  <si>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</si>
  <si>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</si>
  <si>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</si>
  <si>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</si>
  <si>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</si>
  <si>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</si>
  <si>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</si>
  <si>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</si>
  <si>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</si>
  <si>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</si>
  <si>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</si>
  <si>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</si>
  <si>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</si>
  <si>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</si>
  <si>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</si>
  <si>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</si>
  <si>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</si>
  <si>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</si>
  <si>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</si>
  <si>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</si>
  <si>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</si>
  <si>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</si>
  <si>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</si>
  <si>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</si>
  <si>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</si>
  <si>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</si>
  <si>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</si>
  <si>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</si>
  <si>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</si>
  <si>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</si>
  <si>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</si>
  <si>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</si>
  <si>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</si>
  <si>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</si>
  <si>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</si>
  <si>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</si>
  <si>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</si>
  <si>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</si>
  <si>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</si>
  <si>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</si>
  <si>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</si>
  <si>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</si>
  <si>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</si>
  <si>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</si>
  <si>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</si>
  <si>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</si>
  <si>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</si>
  <si>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</si>
  <si>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</si>
  <si>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</si>
  <si>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</si>
  <si>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</si>
  <si>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</si>
  <si>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</si>
  <si>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</si>
  <si>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</si>
  <si>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</si>
  <si>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</si>
  <si>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</si>
  <si>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</si>
  <si>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</si>
  <si>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</si>
  <si>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</si>
  <si>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</si>
  <si>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</si>
  <si>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</si>
  <si>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</si>
  <si>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</si>
  <si>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</si>
  <si>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</si>
  <si>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</si>
  <si>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</si>
  <si>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</si>
  <si>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</si>
  <si>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</si>
  <si>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Черниговское сельское поселение</t>
  </si>
  <si>
    <t>05653425</t>
  </si>
  <si>
    <t>87</t>
  </si>
  <si>
    <t>Чугуевский муниципальный округ</t>
  </si>
  <si>
    <t>05555000</t>
  </si>
  <si>
    <t>88</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</si>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</sst>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dolmatovaev@primtep.ru" TargetMode="External"/><Relationship Id="rId2" Type="http://schemas.openxmlformats.org/officeDocument/2006/relationships/hyperlink" Target="http://pravo.gov.ru/" TargetMode="External"/><Relationship Id="rId1" Type="http://schemas.openxmlformats.org/officeDocument/2006/relationships/hyperlink" Target="http://pravo.gov.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DownloadPage.aspx?type=12&amp;guid=3478ac39-d971-4d34-bc68-e457bc3ee73c/"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1"/>
  <sheetViews>
    <sheetView showGridLines="0" showRowColHeaders="0" workbookViewId="0"/>
  </sheetViews>
  <sheetFormatPr defaultColWidth="11" defaultRowHeight="12.75" customHeight="1" x14ac:dyDescent="0.15"/>
  <cols>
    <col min="1" max="1" width="5.42578125" customWidth="1"/>
    <col min="2" max="2" width="9.140625" customWidth="1"/>
    <col min="3" max="3" width="16.42578125" customWidth="1"/>
    <col min="4" max="25" width="6.28515625" customWidth="1"/>
  </cols>
  <sheetData>
    <row r="1" spans="2:27" ht="15.75" customHeight="1" x14ac:dyDescent="0.15">
      <c r="AA1" t="s">
        <v>0</v>
      </c>
    </row>
    <row r="2" spans="2:27" ht="17.25" customHeight="1" x14ac:dyDescent="0.15">
      <c r="B2" s="1" t="s">
        <v>1</v>
      </c>
      <c r="C2" s="1"/>
      <c r="D2" s="1"/>
      <c r="E2" s="1"/>
      <c r="F2" s="1"/>
      <c r="G2" s="1"/>
      <c r="H2" s="1"/>
      <c r="I2" s="1"/>
      <c r="J2" s="1"/>
      <c r="K2" s="1"/>
      <c r="L2" s="1"/>
      <c r="M2" s="1"/>
      <c r="N2" s="1"/>
      <c r="O2" s="1"/>
      <c r="P2" s="1"/>
    </row>
    <row r="3" spans="2:27" ht="15.75" customHeight="1" x14ac:dyDescent="0.15">
      <c r="B3" s="1" t="s">
        <v>2</v>
      </c>
      <c r="C3" s="1"/>
      <c r="D3" s="1"/>
      <c r="E3" s="1"/>
      <c r="F3" s="1"/>
      <c r="G3" s="1"/>
      <c r="H3" s="1"/>
      <c r="I3" s="1"/>
      <c r="J3" s="1"/>
      <c r="K3" s="1"/>
      <c r="L3" s="1"/>
      <c r="M3" s="1"/>
      <c r="N3" s="1"/>
      <c r="O3" s="1"/>
      <c r="P3" s="1"/>
    </row>
    <row r="4" spans="2:27" ht="17.25" customHeight="1" x14ac:dyDescent="0.15"/>
    <row r="5" spans="2:27" ht="22.5" customHeight="1" x14ac:dyDescent="0.15">
      <c r="B5" s="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
      <c r="D5" s="1"/>
      <c r="E5" s="1"/>
      <c r="F5" s="1"/>
      <c r="G5" s="1"/>
      <c r="H5" s="1"/>
      <c r="I5" s="1"/>
      <c r="J5" s="1"/>
      <c r="K5" s="1"/>
      <c r="L5" s="1"/>
      <c r="M5" s="1"/>
      <c r="N5" s="1"/>
      <c r="O5" s="1"/>
      <c r="P5" s="1"/>
      <c r="Q5" s="1"/>
      <c r="R5" s="1"/>
      <c r="S5" s="1"/>
      <c r="T5" s="1"/>
      <c r="U5" s="1"/>
      <c r="V5" s="1"/>
      <c r="W5" s="1"/>
      <c r="X5" s="1"/>
      <c r="Y5" s="1"/>
    </row>
    <row r="6" spans="2:27" ht="15" customHeight="1" x14ac:dyDescent="0.15">
      <c r="B6" s="1" t="s">
        <v>3</v>
      </c>
      <c r="C6" s="1"/>
    </row>
    <row r="7" spans="2:27" ht="15" customHeight="1" x14ac:dyDescent="0.15">
      <c r="B7" s="1"/>
      <c r="C7" s="1"/>
    </row>
    <row r="8" spans="2:27" ht="15" customHeight="1" x14ac:dyDescent="0.15">
      <c r="B8" s="1"/>
      <c r="C8" s="1"/>
      <c r="E8" t="s">
        <v>4</v>
      </c>
      <c r="F8" s="1" t="s">
        <v>5</v>
      </c>
      <c r="G8" s="1"/>
      <c r="H8" s="1"/>
      <c r="I8" s="1"/>
      <c r="J8" s="1"/>
      <c r="K8" s="1"/>
      <c r="L8" s="1"/>
      <c r="M8" s="1"/>
      <c r="O8" t="s">
        <v>4</v>
      </c>
      <c r="P8" s="1" t="s">
        <v>6</v>
      </c>
      <c r="Q8" s="1"/>
      <c r="R8" s="1"/>
      <c r="S8" s="1"/>
      <c r="T8" s="1"/>
      <c r="U8" s="1"/>
      <c r="V8" s="1"/>
      <c r="W8" s="1"/>
      <c r="X8" s="1"/>
    </row>
    <row r="9" spans="2:27" ht="15" customHeight="1" x14ac:dyDescent="0.15">
      <c r="B9" s="1"/>
      <c r="C9" s="1"/>
      <c r="E9" t="s">
        <v>4</v>
      </c>
      <c r="F9" s="1" t="s">
        <v>7</v>
      </c>
      <c r="G9" s="1"/>
      <c r="H9" s="1"/>
      <c r="I9" s="1"/>
      <c r="J9" s="1"/>
      <c r="K9" s="1"/>
      <c r="L9" s="1"/>
      <c r="M9" s="1"/>
      <c r="O9" t="s">
        <v>4</v>
      </c>
      <c r="P9" s="1" t="s">
        <v>8</v>
      </c>
      <c r="Q9" s="1"/>
      <c r="R9" s="1"/>
      <c r="S9" s="1"/>
      <c r="T9" s="1"/>
      <c r="U9" s="1"/>
      <c r="V9" s="1"/>
      <c r="W9" s="1"/>
      <c r="X9" s="1"/>
    </row>
    <row r="10" spans="2:27" ht="30" customHeight="1" x14ac:dyDescent="0.15">
      <c r="B10" s="1"/>
      <c r="C10" s="1"/>
    </row>
    <row r="11" spans="2:27" ht="19.5" customHeight="1" x14ac:dyDescent="0.15">
      <c r="B11" s="1" t="s">
        <v>9</v>
      </c>
      <c r="C11" s="1"/>
    </row>
    <row r="12" spans="2:27" ht="69" customHeight="1" x14ac:dyDescent="0.15">
      <c r="B12" s="1"/>
      <c r="C12" s="1"/>
      <c r="E12" s="1" t="s">
        <v>10</v>
      </c>
      <c r="F12" s="1"/>
      <c r="G12" s="1"/>
      <c r="H12" s="1"/>
      <c r="I12" s="1"/>
      <c r="J12" s="1"/>
      <c r="K12" s="1"/>
      <c r="L12" s="1"/>
      <c r="M12" s="1"/>
      <c r="N12" s="1"/>
      <c r="O12" s="1"/>
      <c r="P12" s="1"/>
      <c r="Q12" s="1"/>
      <c r="R12" s="1"/>
      <c r="S12" s="1"/>
      <c r="T12" s="1"/>
      <c r="U12" s="1"/>
      <c r="V12" s="1"/>
      <c r="W12" s="1"/>
      <c r="X12" s="1"/>
    </row>
    <row r="13" spans="2:27" ht="15" customHeight="1" x14ac:dyDescent="0.15">
      <c r="B13" s="1" t="s">
        <v>11</v>
      </c>
      <c r="C13" s="1"/>
    </row>
    <row r="14" spans="2:27" ht="57" customHeight="1" x14ac:dyDescent="0.15">
      <c r="B14" s="1"/>
      <c r="C14" s="1"/>
      <c r="E14" s="1" t="s">
        <v>12</v>
      </c>
      <c r="F14" s="1"/>
      <c r="G14" s="1"/>
      <c r="H14" s="1"/>
      <c r="I14" s="1"/>
      <c r="J14" s="1"/>
      <c r="K14" s="1"/>
      <c r="L14" s="1"/>
      <c r="M14" s="1"/>
      <c r="N14" s="1"/>
      <c r="O14" s="1"/>
      <c r="P14" s="1"/>
      <c r="Q14" s="1"/>
      <c r="R14" s="1"/>
      <c r="S14" s="1"/>
      <c r="T14" s="1"/>
      <c r="U14" s="1"/>
      <c r="V14" s="1"/>
      <c r="W14" s="1"/>
      <c r="X14" s="1"/>
    </row>
    <row r="15" spans="2:27" ht="16.5" customHeight="1" x14ac:dyDescent="0.15">
      <c r="B15" s="1"/>
      <c r="C15" s="1"/>
    </row>
    <row r="16" spans="2:27" ht="95.25" customHeight="1" x14ac:dyDescent="0.15">
      <c r="B16" s="1"/>
      <c r="C16" s="1"/>
      <c r="D16" s="1"/>
      <c r="E16" s="1"/>
      <c r="F16" s="1"/>
      <c r="G16" s="1"/>
      <c r="H16" s="1"/>
      <c r="I16" s="1"/>
      <c r="J16" s="1"/>
      <c r="K16" s="1"/>
      <c r="L16" s="1"/>
      <c r="M16" s="1"/>
      <c r="N16" s="1"/>
      <c r="O16" s="1"/>
      <c r="P16" s="1"/>
      <c r="Q16" s="1"/>
      <c r="R16" s="1"/>
      <c r="S16" s="1"/>
      <c r="T16" s="1"/>
      <c r="U16" s="1"/>
      <c r="V16" s="1"/>
      <c r="W16" s="1"/>
      <c r="X16" s="1"/>
      <c r="Y16" s="1"/>
    </row>
    <row r="17" ht="14.25" customHeight="1" x14ac:dyDescent="0.15"/>
    <row r="18" ht="14.25" customHeight="1" x14ac:dyDescent="0.15"/>
    <row r="19" ht="14.25" customHeight="1" x14ac:dyDescent="0.15"/>
    <row r="20" ht="14.25" customHeight="1" x14ac:dyDescent="0.15"/>
    <row r="21" ht="14.25" customHeight="1" x14ac:dyDescent="0.15"/>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17" sqref="I17"/>
    </sheetView>
  </sheetViews>
  <sheetFormatPr defaultColWidth="9.140625" defaultRowHeight="11.25" customHeight="1" x14ac:dyDescent="0.15"/>
  <cols>
    <col min="1" max="2" width="10.7109375" hidden="1" customWidth="1"/>
    <col min="3" max="3" width="3" customWidth="1"/>
    <col min="4" max="4" width="1" customWidth="1"/>
    <col min="5" max="6" width="55" customWidth="1"/>
    <col min="7" max="7" width="1" customWidth="1"/>
    <col min="8" max="8" width="18" hidden="1" customWidth="1"/>
    <col min="9" max="9" width="59" customWidth="1"/>
    <col min="10" max="10" width="52.140625" hidden="1" customWidth="1"/>
    <col min="11" max="11" width="8" customWidth="1"/>
    <col min="12" max="12" width="77" customWidth="1"/>
    <col min="13" max="16" width="8" customWidth="1"/>
    <col min="17" max="17" width="12" hidden="1" customWidth="1"/>
  </cols>
  <sheetData>
    <row r="1" spans="1:17" ht="3" customHeight="1" x14ac:dyDescent="0.15">
      <c r="F1" t="s">
        <v>13</v>
      </c>
      <c r="Q1" t="s">
        <v>14</v>
      </c>
    </row>
    <row r="2" spans="1:17" ht="14.25" customHeight="1" x14ac:dyDescent="0.15">
      <c r="E2" t="str">
        <f>code</f>
        <v>Код отчёта: PP108.OPEN.INFO.PRICE.VOTV.EIAS</v>
      </c>
      <c r="Q2">
        <v>14</v>
      </c>
    </row>
    <row r="3" spans="1:17" ht="14.65" customHeight="1" x14ac:dyDescent="0.15">
      <c r="E3" t="str">
        <f>version</f>
        <v>Версия отчёта: 1.1.1</v>
      </c>
      <c r="Q3">
        <v>14</v>
      </c>
    </row>
    <row r="4" spans="1:17" ht="6.4" customHeight="1" x14ac:dyDescent="0.15">
      <c r="Q4">
        <v>6</v>
      </c>
    </row>
    <row r="5" spans="1:17" ht="39.75" customHeight="1" x14ac:dyDescent="0.15">
      <c r="E5" s="1" t="str">
        <f>NameTemplatesInTitle</f>
        <v>Показатели, подлежащие раскрытию в сфере водоотведения (цены и тарифы)</v>
      </c>
      <c r="F5" s="1"/>
      <c r="Q5">
        <v>38</v>
      </c>
    </row>
    <row r="6" spans="1:17" ht="6.4" customHeight="1" x14ac:dyDescent="0.15">
      <c r="Q6">
        <v>6</v>
      </c>
    </row>
    <row r="7" spans="1:17" ht="21" customHeight="1" x14ac:dyDescent="0.15">
      <c r="E7" t="s">
        <v>15</v>
      </c>
      <c r="F7" t="s">
        <v>16</v>
      </c>
      <c r="Q7">
        <v>20</v>
      </c>
    </row>
    <row r="8" spans="1:17" ht="6.4" customHeight="1" x14ac:dyDescent="0.15">
      <c r="Q8">
        <v>6</v>
      </c>
    </row>
    <row r="9" spans="1:17" ht="19.5" hidden="1" customHeight="1" x14ac:dyDescent="0.15">
      <c r="E9" t="s">
        <v>17</v>
      </c>
      <c r="I9" t="str">
        <f>IF(TITLE_STRUCTURE_INFO_ROIV="","","раскрывается "&amp;INDEX(ROIV_INFO_COMMENT,MATCH(TITLE_STRUCTURE_INFO_ROIV,ROIV_INFO_LIST,0)))</f>
        <v/>
      </c>
      <c r="Q9">
        <v>0</v>
      </c>
    </row>
    <row r="10" spans="1:17" ht="24" hidden="1" customHeight="1" x14ac:dyDescent="0.15">
      <c r="E10" t="s">
        <v>18</v>
      </c>
      <c r="F10" t="s">
        <v>19</v>
      </c>
      <c r="Q10">
        <v>24</v>
      </c>
    </row>
    <row r="11" spans="1:17" ht="22.5" customHeight="1" x14ac:dyDescent="0.15">
      <c r="A11" s="1" t="s">
        <v>20</v>
      </c>
      <c r="E11" t="s">
        <v>21</v>
      </c>
      <c r="F11">
        <v>45292.494618055556</v>
      </c>
      <c r="H11" t="s">
        <v>22</v>
      </c>
      <c r="J11" t="s">
        <v>23</v>
      </c>
      <c r="Q11">
        <v>0</v>
      </c>
    </row>
    <row r="12" spans="1:17" ht="22.5" customHeight="1" x14ac:dyDescent="0.15">
      <c r="A12" s="1"/>
      <c r="E12" t="s">
        <v>24</v>
      </c>
      <c r="F12">
        <v>47118.494745370372</v>
      </c>
      <c r="J12" t="s">
        <v>25</v>
      </c>
      <c r="Q12">
        <v>0</v>
      </c>
    </row>
    <row r="13" spans="1:17" ht="22.5" hidden="1" customHeight="1" x14ac:dyDescent="0.15">
      <c r="A13" t="s">
        <v>26</v>
      </c>
      <c r="E13" t="s">
        <v>27</v>
      </c>
      <c r="F13" t="s">
        <v>28</v>
      </c>
      <c r="J13" t="s">
        <v>29</v>
      </c>
      <c r="Q13">
        <v>0</v>
      </c>
    </row>
    <row r="14" spans="1:17" ht="27" hidden="1" customHeight="1" x14ac:dyDescent="0.15">
      <c r="A14" t="s">
        <v>30</v>
      </c>
      <c r="E14" t="s">
        <v>31</v>
      </c>
      <c r="J14" t="s">
        <v>32</v>
      </c>
      <c r="Q14">
        <v>0</v>
      </c>
    </row>
    <row r="15" spans="1:17" ht="19.5" hidden="1" customHeight="1" x14ac:dyDescent="0.15">
      <c r="A15" t="s">
        <v>33</v>
      </c>
      <c r="E15" t="s">
        <v>34</v>
      </c>
      <c r="J15" t="s">
        <v>35</v>
      </c>
      <c r="Q15">
        <v>0</v>
      </c>
    </row>
    <row r="16" spans="1:17" ht="6.4" customHeight="1" x14ac:dyDescent="0.15">
      <c r="Q16">
        <v>6</v>
      </c>
    </row>
    <row r="17" spans="5:17" ht="21" customHeight="1" x14ac:dyDescent="0.15">
      <c r="E17" t="s">
        <v>36</v>
      </c>
      <c r="F17" t="s">
        <v>37</v>
      </c>
      <c r="H17" t="s">
        <v>22</v>
      </c>
      <c r="Q17">
        <v>20</v>
      </c>
    </row>
    <row r="18" spans="5:17" ht="25.5" customHeight="1" x14ac:dyDescent="0.15">
      <c r="E18" t="s">
        <v>38</v>
      </c>
      <c r="F18">
        <v>45653.495034722226</v>
      </c>
      <c r="J18" s="1" t="s">
        <v>39</v>
      </c>
      <c r="Q18">
        <v>0</v>
      </c>
    </row>
    <row r="19" spans="5:17" ht="25.5" customHeight="1" x14ac:dyDescent="0.15">
      <c r="E1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v>45292.495127314818</v>
      </c>
      <c r="J19" s="1"/>
      <c r="Q19">
        <v>0</v>
      </c>
    </row>
    <row r="20" spans="5:17" ht="22.5" customHeight="1" x14ac:dyDescent="0.15">
      <c r="F20" t="str">
        <f>"Первичное "&amp;IF(TEMPLATE_GROUP="P","установление тарифов","предложение по тарифам")</f>
        <v>Первичное установление тарифов</v>
      </c>
      <c r="J20" t="s">
        <v>40</v>
      </c>
      <c r="Q20">
        <v>0</v>
      </c>
    </row>
    <row r="21" spans="5:17" ht="19.5" customHeight="1" x14ac:dyDescent="0.15">
      <c r="E21" t="str">
        <f>"Дата "&amp;IF(TEMPLATE_GROUP="P","документа","подачи заявления")&amp;" об утверждении тарифов"</f>
        <v>Дата документа об утверждении тарифов</v>
      </c>
      <c r="F21">
        <v>45280.495208333334</v>
      </c>
      <c r="Q21">
        <v>0</v>
      </c>
    </row>
    <row r="22" spans="5:17" ht="19.5" customHeight="1" x14ac:dyDescent="0.15">
      <c r="E22" t="str">
        <f>"Номер "&amp;IF(TEMPLATE_GROUP="P","документа","подачи заявления")&amp;" об утверждении тарифов"</f>
        <v>Номер документа об утверждении тарифов</v>
      </c>
      <c r="F22" t="s">
        <v>41</v>
      </c>
      <c r="Q22">
        <v>0</v>
      </c>
    </row>
    <row r="23" spans="5:17" ht="22.5" customHeight="1" x14ac:dyDescent="0.15">
      <c r="E23" t="s">
        <v>42</v>
      </c>
      <c r="F23" t="s">
        <v>43</v>
      </c>
      <c r="Q23">
        <v>0</v>
      </c>
    </row>
    <row r="24" spans="5:17" ht="19.5" customHeight="1" x14ac:dyDescent="0.15">
      <c r="E24" t="s">
        <v>44</v>
      </c>
      <c r="F24" t="s">
        <v>45</v>
      </c>
      <c r="Q24">
        <v>0</v>
      </c>
    </row>
    <row r="25" spans="5:17" ht="22.5" customHeight="1" x14ac:dyDescent="0.15">
      <c r="F25" t="str">
        <f>"Изменение "&amp;IF(TEMPLATE_GROUP="P","тарифов","предложения по тарифам")</f>
        <v>Изменение тарифов</v>
      </c>
      <c r="J25" t="s">
        <v>46</v>
      </c>
      <c r="Q25">
        <v>0</v>
      </c>
    </row>
    <row r="26" spans="5:17" ht="19.5" customHeight="1" x14ac:dyDescent="0.15">
      <c r="E26" t="str">
        <f>"Дата "&amp;IF(TEMPLATE_GROUP="P","принятия решения","подачи заявления")&amp;" об изменении тарифов"</f>
        <v>Дата принятия решения об изменении тарифов</v>
      </c>
      <c r="F26">
        <v>45653.495844907404</v>
      </c>
      <c r="Q26">
        <v>0</v>
      </c>
    </row>
    <row r="27" spans="5:17" ht="19.5" customHeight="1" x14ac:dyDescent="0.15">
      <c r="E27" t="str">
        <f>"Номер "&amp;IF(TEMPLATE_GROUP="P","принятия решения","заявления")&amp;" об изменении тарифов"</f>
        <v>Номер принятия решения об изменении тарифов</v>
      </c>
      <c r="F27" t="s">
        <v>47</v>
      </c>
      <c r="Q27">
        <v>0</v>
      </c>
    </row>
    <row r="28" spans="5:17" ht="24.75" customHeight="1" x14ac:dyDescent="0.15">
      <c r="E28" t="s">
        <v>48</v>
      </c>
      <c r="F28" t="s">
        <v>43</v>
      </c>
      <c r="Q28">
        <v>0</v>
      </c>
    </row>
    <row r="29" spans="5:17" ht="19.5" customHeight="1" x14ac:dyDescent="0.15">
      <c r="E29" t="s">
        <v>44</v>
      </c>
      <c r="F29" t="s">
        <v>45</v>
      </c>
      <c r="Q29">
        <v>0</v>
      </c>
    </row>
    <row r="30" spans="5:17" ht="6.4" customHeight="1" x14ac:dyDescent="0.15">
      <c r="Q30">
        <v>6</v>
      </c>
    </row>
    <row r="31" spans="5:17" ht="21" customHeight="1" x14ac:dyDescent="0.15">
      <c r="E31" t="str">
        <f>"Наименование "&amp;IF(TEMPLATE_GROUP="ROIV","органа тарифного регулирования","ЮЛ / ИП")</f>
        <v>Наименование ЮЛ / ИП</v>
      </c>
      <c r="F31" t="s">
        <v>49</v>
      </c>
      <c r="Q31">
        <v>20</v>
      </c>
    </row>
    <row r="32" spans="5:17" ht="21" hidden="1" customHeight="1" x14ac:dyDescent="0.15">
      <c r="E32" t="s">
        <v>50</v>
      </c>
      <c r="Q32">
        <v>20</v>
      </c>
    </row>
    <row r="33" spans="1:17" ht="21" customHeight="1" x14ac:dyDescent="0.15">
      <c r="E33" t="s">
        <v>51</v>
      </c>
      <c r="F33" t="s">
        <v>52</v>
      </c>
      <c r="Q33">
        <v>20</v>
      </c>
    </row>
    <row r="34" spans="1:17" ht="21" customHeight="1" x14ac:dyDescent="0.15">
      <c r="E34" t="s">
        <v>53</v>
      </c>
      <c r="F34" t="s">
        <v>54</v>
      </c>
      <c r="Q34">
        <v>20</v>
      </c>
    </row>
    <row r="35" spans="1:17" ht="11.45" customHeight="1" x14ac:dyDescent="0.15">
      <c r="Q35">
        <v>11</v>
      </c>
    </row>
    <row r="36" spans="1:17" ht="19.5" hidden="1" customHeight="1" x14ac:dyDescent="0.15">
      <c r="E36" t="s">
        <v>55</v>
      </c>
      <c r="Q36">
        <v>0</v>
      </c>
    </row>
    <row r="37" spans="1:17" ht="21" customHeight="1" x14ac:dyDescent="0.15">
      <c r="E37" t="s">
        <v>56</v>
      </c>
      <c r="F37" t="s">
        <v>57</v>
      </c>
      <c r="Q37">
        <v>20</v>
      </c>
    </row>
    <row r="38" spans="1:17" ht="6.4" customHeight="1" x14ac:dyDescent="0.15">
      <c r="Q38">
        <v>6</v>
      </c>
    </row>
    <row r="39" spans="1:17" ht="36.75" customHeight="1" x14ac:dyDescent="0.15">
      <c r="E39" t="s">
        <v>58</v>
      </c>
      <c r="F39" t="s">
        <v>19</v>
      </c>
      <c r="H39" t="s">
        <v>22</v>
      </c>
      <c r="Q39">
        <v>35</v>
      </c>
    </row>
    <row r="40" spans="1:17" ht="6" hidden="1" customHeight="1" x14ac:dyDescent="0.15">
      <c r="Q40">
        <v>6</v>
      </c>
    </row>
    <row r="41" spans="1:17" ht="26.25" hidden="1" customHeight="1" x14ac:dyDescent="0.15">
      <c r="A41" t="s">
        <v>26</v>
      </c>
      <c r="E4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t="s">
        <v>19</v>
      </c>
      <c r="Q41">
        <v>0</v>
      </c>
    </row>
    <row r="42" spans="1:17" ht="6" hidden="1" customHeight="1" x14ac:dyDescent="0.15">
      <c r="Q42">
        <v>0</v>
      </c>
    </row>
    <row r="43" spans="1:17" ht="27" hidden="1" customHeight="1" x14ac:dyDescent="0.15">
      <c r="E43" t="s">
        <v>59</v>
      </c>
      <c r="F43" t="s">
        <v>19</v>
      </c>
      <c r="Q43">
        <v>0</v>
      </c>
    </row>
    <row r="44" spans="1:17" ht="27" hidden="1" customHeight="1" x14ac:dyDescent="0.15">
      <c r="E44" t="s">
        <v>60</v>
      </c>
      <c r="Q44">
        <v>0</v>
      </c>
    </row>
    <row r="45" spans="1:17" ht="6" hidden="1" customHeight="1" x14ac:dyDescent="0.15">
      <c r="Q45">
        <v>0</v>
      </c>
    </row>
    <row r="46" spans="1:17" ht="24.75" hidden="1" customHeight="1" x14ac:dyDescent="0.15">
      <c r="E46" t="s">
        <v>61</v>
      </c>
      <c r="F46" t="s">
        <v>19</v>
      </c>
      <c r="Q46">
        <v>0</v>
      </c>
    </row>
    <row r="47" spans="1:17" ht="24.75" hidden="1" customHeight="1" x14ac:dyDescent="0.15">
      <c r="E47" t="s">
        <v>62</v>
      </c>
      <c r="F47" t="s">
        <v>19</v>
      </c>
      <c r="Q47">
        <v>0</v>
      </c>
    </row>
    <row r="48" spans="1:17" ht="6" customHeight="1" x14ac:dyDescent="0.15">
      <c r="Q48">
        <v>0</v>
      </c>
    </row>
    <row r="49" spans="5:17" ht="29.25" customHeight="1" x14ac:dyDescent="0.15">
      <c r="E4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t="s">
        <v>63</v>
      </c>
      <c r="Q49">
        <v>0</v>
      </c>
    </row>
    <row r="50" spans="5:17" ht="6" hidden="1" customHeight="1" x14ac:dyDescent="0.15">
      <c r="Q50">
        <v>0</v>
      </c>
    </row>
    <row r="51" spans="5:17" ht="28.5" hidden="1" customHeight="1" x14ac:dyDescent="0.15">
      <c r="E51" t="s">
        <v>64</v>
      </c>
      <c r="F51" t="s">
        <v>19</v>
      </c>
      <c r="Q51">
        <v>0</v>
      </c>
    </row>
    <row r="52" spans="5:17" ht="6" hidden="1" customHeight="1" x14ac:dyDescent="0.15">
      <c r="Q52">
        <v>0</v>
      </c>
    </row>
    <row r="53" spans="5:17" ht="27" hidden="1" customHeight="1" x14ac:dyDescent="0.15">
      <c r="E53" t="s">
        <v>65</v>
      </c>
      <c r="F53" t="s">
        <v>19</v>
      </c>
      <c r="Q53">
        <v>0</v>
      </c>
    </row>
    <row r="54" spans="5:17" ht="27" hidden="1" customHeight="1" x14ac:dyDescent="0.15">
      <c r="E54" t="s">
        <v>66</v>
      </c>
      <c r="Q54">
        <v>0</v>
      </c>
    </row>
    <row r="55" spans="5:17" ht="6" hidden="1" customHeight="1" x14ac:dyDescent="0.15">
      <c r="Q55">
        <v>0</v>
      </c>
    </row>
    <row r="56" spans="5:17" ht="25.5" hidden="1" customHeight="1" x14ac:dyDescent="0.15">
      <c r="E56" t="s">
        <v>67</v>
      </c>
      <c r="F56" t="s">
        <v>19</v>
      </c>
      <c r="Q56">
        <v>0</v>
      </c>
    </row>
    <row r="57" spans="5:17" ht="6" hidden="1" customHeight="1" x14ac:dyDescent="0.15">
      <c r="Q57">
        <v>0</v>
      </c>
    </row>
    <row r="58" spans="5:17" ht="15" hidden="1" customHeight="1" x14ac:dyDescent="0.15">
      <c r="E58" t="s">
        <v>68</v>
      </c>
      <c r="F58" t="s">
        <v>63</v>
      </c>
      <c r="Q58">
        <v>0</v>
      </c>
    </row>
    <row r="59" spans="5:17" ht="75" hidden="1" customHeight="1" x14ac:dyDescent="0.15">
      <c r="E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Q59">
        <v>0</v>
      </c>
    </row>
    <row r="60" spans="5:17" ht="15" hidden="1" customHeight="1" x14ac:dyDescent="0.15">
      <c r="E60" t="s">
        <v>69</v>
      </c>
      <c r="Q60">
        <v>0</v>
      </c>
    </row>
    <row r="61" spans="5:17" ht="6" hidden="1" customHeight="1" x14ac:dyDescent="0.15">
      <c r="Q61">
        <v>0</v>
      </c>
    </row>
    <row r="62" spans="5:17" ht="33.75" hidden="1" customHeight="1" x14ac:dyDescent="0.15">
      <c r="E62" t="s">
        <v>70</v>
      </c>
      <c r="F62" t="s">
        <v>63</v>
      </c>
      <c r="H62" t="s">
        <v>22</v>
      </c>
      <c r="Q62">
        <v>0</v>
      </c>
    </row>
    <row r="63" spans="5:17" ht="6.4" customHeight="1" x14ac:dyDescent="0.15">
      <c r="Q63">
        <v>6</v>
      </c>
    </row>
    <row r="64" spans="5:17" ht="21" customHeight="1" x14ac:dyDescent="0.15">
      <c r="E64" t="s">
        <v>71</v>
      </c>
      <c r="F64" t="s">
        <v>72</v>
      </c>
      <c r="Q64">
        <v>20</v>
      </c>
    </row>
    <row r="65" spans="1:17" ht="21" customHeight="1" x14ac:dyDescent="0.15">
      <c r="E65" t="s">
        <v>73</v>
      </c>
      <c r="F65" t="s">
        <v>74</v>
      </c>
      <c r="Q65">
        <v>20</v>
      </c>
    </row>
    <row r="66" spans="1:17" ht="36.75" customHeight="1" x14ac:dyDescent="0.15">
      <c r="E66" t="s">
        <v>75</v>
      </c>
      <c r="Q66">
        <v>35</v>
      </c>
    </row>
    <row r="67" spans="1:17" ht="21" customHeight="1" x14ac:dyDescent="0.15">
      <c r="E67" t="s">
        <v>76</v>
      </c>
      <c r="F67" t="s">
        <v>77</v>
      </c>
      <c r="Q67">
        <v>20</v>
      </c>
    </row>
    <row r="68" spans="1:17" ht="21" customHeight="1" x14ac:dyDescent="0.15">
      <c r="E68" t="s">
        <v>78</v>
      </c>
      <c r="F68" t="s">
        <v>79</v>
      </c>
      <c r="Q68">
        <v>20</v>
      </c>
    </row>
    <row r="69" spans="1:17" ht="21" customHeight="1" x14ac:dyDescent="0.15">
      <c r="E69" t="s">
        <v>80</v>
      </c>
      <c r="F69" t="s">
        <v>81</v>
      </c>
      <c r="Q69">
        <v>20</v>
      </c>
    </row>
    <row r="70" spans="1:17" ht="21" customHeight="1" x14ac:dyDescent="0.15">
      <c r="E70" t="s">
        <v>82</v>
      </c>
      <c r="F70" t="s">
        <v>83</v>
      </c>
      <c r="Q70">
        <v>20</v>
      </c>
    </row>
    <row r="71" spans="1:17" ht="21" customHeight="1" x14ac:dyDescent="0.15">
      <c r="Q71">
        <v>20</v>
      </c>
    </row>
    <row r="72" spans="1:17" ht="21" customHeight="1" x14ac:dyDescent="0.15">
      <c r="F72" t="s">
        <v>13</v>
      </c>
      <c r="Q72">
        <v>20</v>
      </c>
    </row>
    <row r="73" spans="1:17" ht="21" customHeight="1" x14ac:dyDescent="0.15">
      <c r="Q73">
        <v>20</v>
      </c>
    </row>
    <row r="74" spans="1:17" ht="21" customHeight="1" x14ac:dyDescent="0.15">
      <c r="Q74">
        <v>20</v>
      </c>
    </row>
    <row r="75" spans="1:17" ht="21" customHeight="1" x14ac:dyDescent="0.15">
      <c r="Q75">
        <v>20</v>
      </c>
    </row>
    <row r="76" spans="1:17" ht="11.45" customHeight="1" x14ac:dyDescent="0.15">
      <c r="Q76">
        <v>11</v>
      </c>
    </row>
    <row r="77" spans="1:17" ht="11.45" customHeight="1" x14ac:dyDescent="0.15">
      <c r="Q77">
        <v>11</v>
      </c>
    </row>
    <row r="78" spans="1:17" ht="11.45" customHeight="1" x14ac:dyDescent="0.15">
      <c r="Q78">
        <v>11</v>
      </c>
    </row>
    <row r="79" spans="1:17" ht="11.25" hidden="1" customHeight="1" x14ac:dyDescent="0.15">
      <c r="A79" t="s">
        <v>84</v>
      </c>
      <c r="B79">
        <v>0</v>
      </c>
      <c r="C79">
        <v>3</v>
      </c>
      <c r="D79">
        <v>1</v>
      </c>
      <c r="E79">
        <v>55</v>
      </c>
      <c r="F79">
        <v>54</v>
      </c>
      <c r="G79">
        <v>1</v>
      </c>
      <c r="H79">
        <v>0</v>
      </c>
      <c r="I79">
        <v>59</v>
      </c>
      <c r="J79">
        <v>0</v>
      </c>
      <c r="K79">
        <v>8</v>
      </c>
      <c r="L79">
        <v>77</v>
      </c>
      <c r="M79">
        <v>8</v>
      </c>
      <c r="N79">
        <v>8</v>
      </c>
      <c r="O79">
        <v>8</v>
      </c>
      <c r="P79">
        <v>8</v>
      </c>
      <c r="Q79">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65"/>
  <sheetViews>
    <sheetView showGridLines="0" topLeftCell="C2" zoomScale="90" workbookViewId="0">
      <selection activeCell="G48" sqref="G48"/>
    </sheetView>
  </sheetViews>
  <sheetFormatPr defaultColWidth="9.140625" defaultRowHeight="14.25" customHeight="1" x14ac:dyDescent="0.15"/>
  <cols>
    <col min="1" max="1" width="8" hidden="1" customWidth="1"/>
    <col min="2" max="2" width="6" hidden="1" customWidth="1"/>
    <col min="3" max="4" width="3" customWidth="1"/>
    <col min="5" max="5" width="6" customWidth="1"/>
    <col min="6" max="6" width="2.7109375" hidden="1" customWidth="1"/>
    <col min="7" max="7" width="46.7109375" customWidth="1"/>
    <col min="8" max="8" width="42" customWidth="1"/>
    <col min="9" max="9" width="14" customWidth="1"/>
    <col min="10" max="10" width="3" customWidth="1"/>
    <col min="11" max="13" width="9.140625" hidden="1"/>
    <col min="14" max="14" width="25.7109375" hidden="1" customWidth="1"/>
    <col min="15" max="15" width="14.42578125" hidden="1" customWidth="1"/>
    <col min="16" max="27" width="9.140625" hidden="1"/>
    <col min="28" max="28" width="8" customWidth="1"/>
    <col min="29" max="29" width="9.140625" hidden="1"/>
  </cols>
  <sheetData>
    <row r="1" spans="1:29" ht="5.25" hidden="1" customHeight="1" x14ac:dyDescent="0.15">
      <c r="G1" t="s">
        <v>85</v>
      </c>
      <c r="H1" t="s">
        <v>86</v>
      </c>
      <c r="I1" t="s">
        <v>87</v>
      </c>
      <c r="J1" t="s">
        <v>85</v>
      </c>
      <c r="AC1" t="s">
        <v>14</v>
      </c>
    </row>
    <row r="2" spans="1:29" ht="11.25" customHeight="1" x14ac:dyDescent="0.15">
      <c r="AC2">
        <v>11</v>
      </c>
    </row>
    <row r="3" spans="1:29" ht="3" customHeight="1" x14ac:dyDescent="0.15">
      <c r="AC3">
        <v>3</v>
      </c>
    </row>
    <row r="4" spans="1:29" ht="27.4" customHeight="1" x14ac:dyDescent="0.15">
      <c r="E4" s="1" t="str">
        <f>NameTemplatesInListMO</f>
        <v>Перечень муниципальных районов и муниципальных образований (территорий действия тарифа)</v>
      </c>
      <c r="F4" s="1"/>
      <c r="G4" s="1"/>
      <c r="H4" s="1"/>
      <c r="I4" s="1"/>
      <c r="AC4">
        <v>26</v>
      </c>
    </row>
    <row r="5" spans="1:29" ht="3" customHeight="1" x14ac:dyDescent="0.15">
      <c r="AC5">
        <v>3</v>
      </c>
    </row>
    <row r="6" spans="1:29" ht="20.25" hidden="1" customHeight="1" x14ac:dyDescent="0.15">
      <c r="AC6">
        <v>0</v>
      </c>
    </row>
    <row r="7" spans="1:29" ht="25.5" hidden="1" customHeight="1" x14ac:dyDescent="0.15">
      <c r="AC7">
        <v>0</v>
      </c>
    </row>
    <row r="8" spans="1:29" ht="14.65" customHeight="1" x14ac:dyDescent="0.15">
      <c r="E8" s="1" t="s">
        <v>88</v>
      </c>
      <c r="F8" s="1"/>
      <c r="G8" s="1"/>
      <c r="H8" s="1" t="s">
        <v>89</v>
      </c>
      <c r="I8" s="1"/>
      <c r="AC8">
        <v>14</v>
      </c>
    </row>
    <row r="9" spans="1:29" ht="21" customHeight="1" x14ac:dyDescent="0.15">
      <c r="E9" t="s">
        <v>90</v>
      </c>
      <c r="G9" t="s">
        <v>91</v>
      </c>
      <c r="H9" t="s">
        <v>91</v>
      </c>
      <c r="I9" t="s">
        <v>87</v>
      </c>
      <c r="AC9">
        <v>20</v>
      </c>
    </row>
    <row r="10" spans="1:29" ht="11.45" customHeight="1" x14ac:dyDescent="0.15">
      <c r="E10" t="s">
        <v>92</v>
      </c>
      <c r="G10" t="s">
        <v>93</v>
      </c>
      <c r="H10" t="s">
        <v>94</v>
      </c>
      <c r="I10" t="s">
        <v>95</v>
      </c>
      <c r="AC10">
        <v>11</v>
      </c>
    </row>
    <row r="11" spans="1:29" ht="1.1499999999999999" customHeight="1" x14ac:dyDescent="0.15">
      <c r="J11" t="s">
        <v>96</v>
      </c>
      <c r="M11" t="s">
        <v>97</v>
      </c>
      <c r="N11" t="s">
        <v>98</v>
      </c>
      <c r="O11" t="s">
        <v>99</v>
      </c>
      <c r="AC11">
        <v>1</v>
      </c>
    </row>
    <row r="12" spans="1:29" ht="15" customHeight="1" x14ac:dyDescent="0.15">
      <c r="A12" s="1">
        <v>1</v>
      </c>
      <c r="E12">
        <f>A12</f>
        <v>1</v>
      </c>
      <c r="F12" t="s">
        <v>100</v>
      </c>
      <c r="G12" t="str">
        <f>"Территория "&amp;E12</f>
        <v>Территория 1</v>
      </c>
      <c r="AC12">
        <v>14</v>
      </c>
    </row>
    <row r="13" spans="1:29" ht="15.75" customHeight="1" x14ac:dyDescent="0.15">
      <c r="A13" s="1"/>
      <c r="B13">
        <v>1</v>
      </c>
      <c r="E13" t="str">
        <f>A12&amp;"."&amp;B13</f>
        <v>1.1</v>
      </c>
      <c r="F13" t="s">
        <v>101</v>
      </c>
      <c r="G13" t="s">
        <v>102</v>
      </c>
      <c r="H13" t="s">
        <v>102</v>
      </c>
      <c r="I13" t="s">
        <v>103</v>
      </c>
      <c r="J13" t="e">
        <f ca="1">MERGEVALUE(G13)</f>
        <v>#NAME?</v>
      </c>
      <c r="M13" t="str">
        <f t="array" ref="M13">IF(ISERROR(MATCH(MID(N13,1,250),MID(note_ter,1,250),0)),"n","y")</f>
        <v>n</v>
      </c>
      <c r="O13" t="str">
        <f>H13&amp;"("&amp;I13&amp;")"</f>
        <v>Анучинский муниципальный округ(05502000)</v>
      </c>
      <c r="AC13">
        <v>15</v>
      </c>
    </row>
    <row r="14" spans="1:29" ht="15.75" customHeight="1" x14ac:dyDescent="0.15">
      <c r="A14" s="1"/>
      <c r="G14" t="s">
        <v>104</v>
      </c>
      <c r="AC14">
        <v>15</v>
      </c>
    </row>
    <row r="15" spans="1:29" ht="15" customHeight="1" x14ac:dyDescent="0.15">
      <c r="A15" s="1" t="s">
        <v>105</v>
      </c>
      <c r="C15" t="s">
        <v>106</v>
      </c>
      <c r="E15" t="str">
        <f>A15</f>
        <v>2</v>
      </c>
      <c r="F15" t="s">
        <v>107</v>
      </c>
      <c r="G15" t="str">
        <f>"Территория "&amp;E15</f>
        <v>Территория 2</v>
      </c>
    </row>
    <row r="16" spans="1:29" ht="15" customHeight="1" x14ac:dyDescent="0.15">
      <c r="A16" s="1"/>
      <c r="B16">
        <v>1</v>
      </c>
      <c r="E16" t="str">
        <f>A15&amp;"."&amp;B16</f>
        <v>2.1</v>
      </c>
      <c r="F16" t="s">
        <v>108</v>
      </c>
      <c r="G16" t="s">
        <v>109</v>
      </c>
      <c r="H16" t="s">
        <v>110</v>
      </c>
      <c r="I16" t="s">
        <v>111</v>
      </c>
      <c r="M16" t="str">
        <f t="array" ref="M16">IF(ISERROR(MATCH(MID(N16,1,250),MID(note_ter,1,250),0)),"n","y")</f>
        <v>n</v>
      </c>
      <c r="O16" t="str">
        <f>H16&amp;"("&amp;I16&amp;")"</f>
        <v>Новошахтинское городское поселение(05620154)</v>
      </c>
    </row>
    <row r="17" spans="1:15" ht="15" customHeight="1" x14ac:dyDescent="0.15">
      <c r="A17" s="1"/>
      <c r="G17" t="s">
        <v>104</v>
      </c>
    </row>
    <row r="18" spans="1:15" ht="15" customHeight="1" x14ac:dyDescent="0.15">
      <c r="A18" s="1" t="s">
        <v>92</v>
      </c>
      <c r="C18" t="s">
        <v>106</v>
      </c>
      <c r="E18" t="str">
        <f>A18</f>
        <v>3</v>
      </c>
      <c r="F18" t="s">
        <v>112</v>
      </c>
      <c r="G18" t="str">
        <f>"Территория "&amp;E18</f>
        <v>Территория 3</v>
      </c>
    </row>
    <row r="19" spans="1:15" ht="15" customHeight="1" x14ac:dyDescent="0.15">
      <c r="A19" s="1"/>
      <c r="B19">
        <v>1</v>
      </c>
      <c r="E19" t="str">
        <f>A18&amp;"."&amp;B19</f>
        <v>3.1</v>
      </c>
      <c r="F19" t="s">
        <v>113</v>
      </c>
      <c r="G19" t="s">
        <v>114</v>
      </c>
      <c r="H19" t="s">
        <v>114</v>
      </c>
      <c r="I19" t="s">
        <v>115</v>
      </c>
      <c r="M19" t="str">
        <f t="array" ref="M19">IF(ISERROR(MATCH(MID(N19,1,250),MID(note_ter,1,250),0)),"n","y")</f>
        <v>n</v>
      </c>
      <c r="O19" t="str">
        <f>H19&amp;"("&amp;I19&amp;")"</f>
        <v>Кавалеровский муниципальный округ(05510000)</v>
      </c>
    </row>
    <row r="20" spans="1:15" ht="15" customHeight="1" x14ac:dyDescent="0.15">
      <c r="A20" s="1"/>
      <c r="G20" t="s">
        <v>104</v>
      </c>
    </row>
    <row r="21" spans="1:15" ht="15" customHeight="1" x14ac:dyDescent="0.15">
      <c r="A21" s="1" t="s">
        <v>93</v>
      </c>
      <c r="C21" t="s">
        <v>106</v>
      </c>
      <c r="E21" t="str">
        <f>A21</f>
        <v>4</v>
      </c>
      <c r="F21" t="s">
        <v>116</v>
      </c>
      <c r="G21" t="str">
        <f>"Территория "&amp;E21</f>
        <v>Территория 4</v>
      </c>
    </row>
    <row r="22" spans="1:15" ht="15" customHeight="1" x14ac:dyDescent="0.15">
      <c r="A22" s="1"/>
      <c r="B22">
        <v>1</v>
      </c>
      <c r="E22" t="str">
        <f>A21&amp;"."&amp;B22</f>
        <v>4.1</v>
      </c>
      <c r="F22" t="s">
        <v>117</v>
      </c>
      <c r="G22" t="s">
        <v>118</v>
      </c>
      <c r="H22" t="s">
        <v>118</v>
      </c>
      <c r="I22" t="s">
        <v>119</v>
      </c>
      <c r="M22" t="str">
        <f t="array" ref="M22">IF(ISERROR(MATCH(MID(N22,1,250),MID(note_ter,1,250),0)),"n","y")</f>
        <v>n</v>
      </c>
      <c r="O22" t="str">
        <f>H22&amp;"("&amp;I22&amp;")"</f>
        <v>Хасанский муниципальный округ(05548000)</v>
      </c>
    </row>
    <row r="23" spans="1:15" ht="15" customHeight="1" x14ac:dyDescent="0.15">
      <c r="A23" s="1"/>
      <c r="G23" t="s">
        <v>104</v>
      </c>
    </row>
    <row r="24" spans="1:15" ht="15" customHeight="1" x14ac:dyDescent="0.15">
      <c r="A24" s="1" t="s">
        <v>120</v>
      </c>
      <c r="C24" t="s">
        <v>106</v>
      </c>
      <c r="E24" t="str">
        <f>A24</f>
        <v>5</v>
      </c>
      <c r="F24" t="s">
        <v>121</v>
      </c>
      <c r="G24" t="str">
        <f>"Территория "&amp;E24</f>
        <v>Территория 5</v>
      </c>
    </row>
    <row r="25" spans="1:15" ht="15" customHeight="1" x14ac:dyDescent="0.15">
      <c r="A25" s="1"/>
      <c r="B25">
        <v>1</v>
      </c>
      <c r="E25" t="str">
        <f>A24&amp;"."&amp;B25</f>
        <v>5.1</v>
      </c>
      <c r="F25" t="s">
        <v>122</v>
      </c>
      <c r="G25" t="s">
        <v>123</v>
      </c>
      <c r="H25" t="s">
        <v>124</v>
      </c>
      <c r="I25" t="s">
        <v>125</v>
      </c>
      <c r="M25" t="str">
        <f t="array" ref="M25">IF(ISERROR(MATCH(MID(N25,1,250),MID(note_ter,1,250),0)),"n","y")</f>
        <v>n</v>
      </c>
      <c r="O25" t="str">
        <f>H25&amp;"("&amp;I25&amp;")"</f>
        <v>Дмитриевское сельское поселение(05653410)</v>
      </c>
    </row>
    <row r="26" spans="1:15" ht="15" customHeight="1" x14ac:dyDescent="0.15">
      <c r="A26" s="1"/>
      <c r="G26" t="s">
        <v>104</v>
      </c>
    </row>
    <row r="27" spans="1:15" ht="15" customHeight="1" x14ac:dyDescent="0.15">
      <c r="A27" s="1" t="s">
        <v>94</v>
      </c>
      <c r="C27" t="s">
        <v>106</v>
      </c>
      <c r="E27" t="str">
        <f>A27</f>
        <v>6</v>
      </c>
      <c r="F27" t="s">
        <v>126</v>
      </c>
      <c r="G27" t="str">
        <f>"Территория "&amp;E27</f>
        <v>Территория 6</v>
      </c>
    </row>
    <row r="28" spans="1:15" ht="15" customHeight="1" x14ac:dyDescent="0.15">
      <c r="A28" s="1"/>
      <c r="B28">
        <v>1</v>
      </c>
      <c r="E28" t="str">
        <f>A27&amp;"."&amp;B28</f>
        <v>6.1</v>
      </c>
      <c r="F28" t="s">
        <v>127</v>
      </c>
      <c r="G28" t="s">
        <v>123</v>
      </c>
      <c r="H28" t="s">
        <v>128</v>
      </c>
      <c r="I28" t="s">
        <v>129</v>
      </c>
      <c r="M28" t="str">
        <f t="array" ref="M28">IF(ISERROR(MATCH(MID(N28,1,250),MID(note_ter,1,250),0)),"n","y")</f>
        <v>n</v>
      </c>
      <c r="O28" t="str">
        <f>H28&amp;"("&amp;I28&amp;")"</f>
        <v>Реттиховское городское поселение(05653422)</v>
      </c>
    </row>
    <row r="29" spans="1:15" ht="15" customHeight="1" x14ac:dyDescent="0.15">
      <c r="A29" s="1"/>
      <c r="G29" t="s">
        <v>104</v>
      </c>
    </row>
    <row r="30" spans="1:15" ht="15" customHeight="1" x14ac:dyDescent="0.15">
      <c r="A30" s="1" t="s">
        <v>95</v>
      </c>
      <c r="C30" t="s">
        <v>106</v>
      </c>
      <c r="E30" t="str">
        <f>A30</f>
        <v>7</v>
      </c>
      <c r="F30" t="s">
        <v>130</v>
      </c>
      <c r="G30" t="str">
        <f>"Территория "&amp;E30</f>
        <v>Территория 7</v>
      </c>
    </row>
    <row r="31" spans="1:15" ht="15" customHeight="1" x14ac:dyDescent="0.15">
      <c r="A31" s="1"/>
      <c r="B31">
        <v>1</v>
      </c>
      <c r="E31" t="str">
        <f>A30&amp;"."&amp;B31</f>
        <v>7.1</v>
      </c>
      <c r="F31" t="s">
        <v>131</v>
      </c>
      <c r="G31" t="s">
        <v>123</v>
      </c>
      <c r="H31" t="s">
        <v>132</v>
      </c>
      <c r="I31" t="s">
        <v>133</v>
      </c>
      <c r="M31" t="str">
        <f t="array" ref="M31">IF(ISERROR(MATCH(MID(N31,1,250),MID(note_ter,1,250),0)),"n","y")</f>
        <v>n</v>
      </c>
      <c r="O31" t="str">
        <f>H31&amp;"("&amp;I31&amp;")"</f>
        <v>Снегуровское(05653419)</v>
      </c>
    </row>
    <row r="32" spans="1:15" ht="15" customHeight="1" x14ac:dyDescent="0.15">
      <c r="A32" s="1"/>
      <c r="G32" t="s">
        <v>104</v>
      </c>
    </row>
    <row r="33" spans="1:15" ht="15" customHeight="1" x14ac:dyDescent="0.15">
      <c r="A33" s="1" t="s">
        <v>134</v>
      </c>
      <c r="C33" t="s">
        <v>106</v>
      </c>
      <c r="E33" t="str">
        <f>A33</f>
        <v>8</v>
      </c>
      <c r="F33" t="s">
        <v>135</v>
      </c>
      <c r="G33" t="str">
        <f>"Территория "&amp;E33</f>
        <v>Территория 8</v>
      </c>
    </row>
    <row r="34" spans="1:15" ht="15" customHeight="1" x14ac:dyDescent="0.15">
      <c r="A34" s="1"/>
      <c r="B34">
        <v>1</v>
      </c>
      <c r="E34" t="str">
        <f>A33&amp;"."&amp;B34</f>
        <v>8.1</v>
      </c>
      <c r="F34" t="s">
        <v>136</v>
      </c>
      <c r="G34" t="s">
        <v>137</v>
      </c>
      <c r="H34" t="s">
        <v>137</v>
      </c>
      <c r="I34" t="s">
        <v>138</v>
      </c>
      <c r="M34" t="str">
        <f t="array" ref="M34">IF(ISERROR(MATCH(MID(N34,1,250),MID(note_ter,1,250),0)),"n","y")</f>
        <v>n</v>
      </c>
      <c r="O34" t="str">
        <f>H34&amp;"("&amp;I34&amp;")"</f>
        <v>Черниговский муниципальный округ(05553000)</v>
      </c>
    </row>
    <row r="35" spans="1:15" ht="15" customHeight="1" x14ac:dyDescent="0.15">
      <c r="A35" s="1"/>
      <c r="G35" t="s">
        <v>104</v>
      </c>
    </row>
    <row r="36" spans="1:15" ht="15" customHeight="1" x14ac:dyDescent="0.15">
      <c r="A36" s="1" t="s">
        <v>139</v>
      </c>
      <c r="C36" t="s">
        <v>106</v>
      </c>
      <c r="E36" t="str">
        <f>A36</f>
        <v>9</v>
      </c>
      <c r="F36" t="s">
        <v>140</v>
      </c>
      <c r="G36" t="str">
        <f>"Территория "&amp;E36</f>
        <v>Территория 9</v>
      </c>
    </row>
    <row r="37" spans="1:15" ht="15" customHeight="1" x14ac:dyDescent="0.15">
      <c r="A37" s="1"/>
      <c r="B37">
        <v>1</v>
      </c>
      <c r="E37" t="str">
        <f>A36&amp;"."&amp;B37</f>
        <v>9.1</v>
      </c>
      <c r="F37" t="s">
        <v>141</v>
      </c>
      <c r="G37" t="s">
        <v>142</v>
      </c>
      <c r="H37" t="s">
        <v>143</v>
      </c>
      <c r="I37" t="s">
        <v>144</v>
      </c>
      <c r="M37" t="str">
        <f t="array" ref="M37">IF(ISERROR(MATCH(MID(N37,1,250),MID(note_ter,1,250),0)),"n","y")</f>
        <v>n</v>
      </c>
      <c r="O37" t="str">
        <f>H37&amp;"("&amp;I37&amp;")"</f>
        <v>Романовское сельское поселение(05657425)</v>
      </c>
    </row>
    <row r="38" spans="1:15" ht="15" customHeight="1" x14ac:dyDescent="0.15">
      <c r="A38" s="1"/>
      <c r="G38" t="s">
        <v>104</v>
      </c>
    </row>
    <row r="39" spans="1:15" ht="15" customHeight="1" x14ac:dyDescent="0.15">
      <c r="A39" s="1" t="s">
        <v>145</v>
      </c>
      <c r="C39" t="s">
        <v>106</v>
      </c>
      <c r="E39" t="str">
        <f>A39</f>
        <v>10</v>
      </c>
      <c r="F39" t="s">
        <v>146</v>
      </c>
      <c r="G39" t="str">
        <f>"Территория "&amp;E39</f>
        <v>Территория 10</v>
      </c>
    </row>
    <row r="40" spans="1:15" ht="15" customHeight="1" x14ac:dyDescent="0.15">
      <c r="A40" s="1"/>
      <c r="B40">
        <v>1</v>
      </c>
      <c r="E40" t="str">
        <f>A39&amp;"."&amp;B40</f>
        <v>10.1</v>
      </c>
      <c r="F40" t="s">
        <v>147</v>
      </c>
      <c r="G40" t="s">
        <v>148</v>
      </c>
      <c r="H40" t="s">
        <v>148</v>
      </c>
      <c r="I40" t="s">
        <v>149</v>
      </c>
      <c r="M40" t="str">
        <f t="array" ref="M40">IF(ISERROR(MATCH(MID(N40,1,250),MID(note_ter,1,250),0)),"n","y")</f>
        <v>n</v>
      </c>
      <c r="O40" t="str">
        <f>H40&amp;"("&amp;I40&amp;")"</f>
        <v>Шкотовский муниципальный округ(05557000)</v>
      </c>
    </row>
    <row r="41" spans="1:15" ht="15" customHeight="1" x14ac:dyDescent="0.15">
      <c r="A41" s="1"/>
      <c r="G41" t="s">
        <v>104</v>
      </c>
    </row>
    <row r="42" spans="1:15" ht="15" customHeight="1" x14ac:dyDescent="0.15">
      <c r="A42" s="1" t="s">
        <v>150</v>
      </c>
      <c r="C42" t="s">
        <v>106</v>
      </c>
      <c r="E42" t="str">
        <f>A42</f>
        <v>11</v>
      </c>
      <c r="F42" t="s">
        <v>151</v>
      </c>
      <c r="G42" t="str">
        <f>"Территория "&amp;E42</f>
        <v>Территория 11</v>
      </c>
    </row>
    <row r="43" spans="1:15" ht="15" customHeight="1" x14ac:dyDescent="0.15">
      <c r="A43" s="1"/>
      <c r="B43">
        <v>1</v>
      </c>
      <c r="E43" t="str">
        <f>A42&amp;"."&amp;B43</f>
        <v>11.1</v>
      </c>
      <c r="F43" t="s">
        <v>94</v>
      </c>
      <c r="G43" t="s">
        <v>152</v>
      </c>
      <c r="H43" t="s">
        <v>152</v>
      </c>
      <c r="I43" t="s">
        <v>153</v>
      </c>
      <c r="M43" t="str">
        <f t="array" ref="M43">IF(ISERROR(MATCH(MID(N43,1,250),MID(note_ter,1,250),0)),"n","y")</f>
        <v>n</v>
      </c>
      <c r="O43" t="str">
        <f>H43&amp;"("&amp;I43&amp;")"</f>
        <v>Дальнегорский городской округ(05707000)</v>
      </c>
    </row>
    <row r="44" spans="1:15" ht="15" customHeight="1" x14ac:dyDescent="0.15">
      <c r="A44" s="1"/>
      <c r="G44" t="s">
        <v>104</v>
      </c>
    </row>
    <row r="45" spans="1:15" ht="15" customHeight="1" x14ac:dyDescent="0.15">
      <c r="A45" s="1" t="s">
        <v>154</v>
      </c>
      <c r="C45" t="s">
        <v>106</v>
      </c>
      <c r="E45" t="str">
        <f>A45</f>
        <v>12</v>
      </c>
      <c r="F45" t="s">
        <v>155</v>
      </c>
      <c r="G45" t="str">
        <f>"Территория "&amp;E45</f>
        <v>Территория 12</v>
      </c>
    </row>
    <row r="46" spans="1:15" ht="15" customHeight="1" x14ac:dyDescent="0.15">
      <c r="A46" s="1"/>
      <c r="B46">
        <v>1</v>
      </c>
      <c r="E46" t="str">
        <f>A45&amp;"."&amp;B46</f>
        <v>12.1</v>
      </c>
      <c r="F46" t="s">
        <v>120</v>
      </c>
      <c r="G46" t="s">
        <v>156</v>
      </c>
      <c r="H46" t="s">
        <v>156</v>
      </c>
      <c r="I46" t="s">
        <v>157</v>
      </c>
      <c r="M46" t="str">
        <f t="array" ref="M46">IF(ISERROR(MATCH(MID(N46,1,250),MID(note_ter,1,250),0)),"n","y")</f>
        <v>n</v>
      </c>
      <c r="O46" t="str">
        <f>H46&amp;"("&amp;I46&amp;")"</f>
        <v>Городской округ Спасск-Дальний(05720000)</v>
      </c>
    </row>
    <row r="47" spans="1:15" ht="15" customHeight="1" x14ac:dyDescent="0.15">
      <c r="A47" s="1"/>
      <c r="G47" t="s">
        <v>104</v>
      </c>
    </row>
    <row r="48" spans="1:15" ht="15" customHeight="1" x14ac:dyDescent="0.15">
      <c r="A48" s="1" t="s">
        <v>158</v>
      </c>
      <c r="C48" t="s">
        <v>106</v>
      </c>
      <c r="E48" t="str">
        <f>A48</f>
        <v>13</v>
      </c>
      <c r="F48" t="s">
        <v>159</v>
      </c>
      <c r="G48" t="str">
        <f>"Территория "&amp;E48</f>
        <v>Территория 13</v>
      </c>
    </row>
    <row r="49" spans="1:29" ht="15" customHeight="1" x14ac:dyDescent="0.15">
      <c r="A49" s="1"/>
      <c r="B49">
        <v>1</v>
      </c>
      <c r="E49" t="str">
        <f>A48&amp;"."&amp;B49</f>
        <v>13.1</v>
      </c>
      <c r="F49" t="s">
        <v>160</v>
      </c>
      <c r="G49" t="s">
        <v>161</v>
      </c>
      <c r="H49" t="s">
        <v>161</v>
      </c>
      <c r="I49" t="s">
        <v>162</v>
      </c>
      <c r="M49" t="str">
        <f t="array" ref="M49">IF(ISERROR(MATCH(MID(N49,1,250),MID(note_ter,1,250),0)),"n","y")</f>
        <v>n</v>
      </c>
      <c r="O49" t="str">
        <f>H49&amp;"("&amp;I49&amp;")"</f>
        <v>городской округ ЗАТО Фокино(05747000)</v>
      </c>
    </row>
    <row r="50" spans="1:29" ht="15" customHeight="1" x14ac:dyDescent="0.15">
      <c r="A50" s="1"/>
      <c r="G50" t="s">
        <v>104</v>
      </c>
    </row>
    <row r="51" spans="1:29" ht="14.65" customHeight="1" x14ac:dyDescent="0.15">
      <c r="G51" t="s">
        <v>163</v>
      </c>
      <c r="N51" t="s">
        <v>164</v>
      </c>
      <c r="AC51">
        <v>14</v>
      </c>
    </row>
    <row r="52" spans="1:29" ht="21.95" customHeight="1" x14ac:dyDescent="0.15">
      <c r="AC52">
        <v>21</v>
      </c>
    </row>
    <row r="53" spans="1:29" ht="14.65" customHeight="1" x14ac:dyDescent="0.15">
      <c r="AC53">
        <v>14</v>
      </c>
    </row>
    <row r="54" spans="1:29" ht="1.1499999999999999" customHeight="1" x14ac:dyDescent="0.15">
      <c r="AC54">
        <v>1</v>
      </c>
    </row>
    <row r="55" spans="1:29" ht="10.5" customHeight="1" x14ac:dyDescent="0.15">
      <c r="AC55">
        <v>10</v>
      </c>
    </row>
    <row r="56" spans="1:29" ht="10.5" customHeight="1" x14ac:dyDescent="0.15">
      <c r="AC56">
        <v>10</v>
      </c>
    </row>
    <row r="57" spans="1:29" ht="14.65" customHeight="1" x14ac:dyDescent="0.15">
      <c r="AC57">
        <v>14</v>
      </c>
    </row>
    <row r="58" spans="1:29" ht="14.65" customHeight="1" x14ac:dyDescent="0.15">
      <c r="AC58">
        <v>14</v>
      </c>
    </row>
    <row r="59" spans="1:29" ht="14.65" customHeight="1" x14ac:dyDescent="0.15">
      <c r="AC59">
        <v>14</v>
      </c>
    </row>
    <row r="60" spans="1:29" ht="14.65" customHeight="1" x14ac:dyDescent="0.15">
      <c r="AC60">
        <v>14</v>
      </c>
    </row>
    <row r="61" spans="1:29" ht="14.65" customHeight="1" x14ac:dyDescent="0.15">
      <c r="AC61">
        <v>14</v>
      </c>
    </row>
    <row r="62" spans="1:29" ht="14.65" customHeight="1" x14ac:dyDescent="0.15">
      <c r="AC62">
        <v>14</v>
      </c>
    </row>
    <row r="63" spans="1:29" ht="14.65" customHeight="1" x14ac:dyDescent="0.15">
      <c r="AC63">
        <v>14</v>
      </c>
    </row>
    <row r="64" spans="1:29" ht="14.65" customHeight="1" x14ac:dyDescent="0.15">
      <c r="AC64">
        <v>14</v>
      </c>
    </row>
    <row r="65" spans="1:29" ht="22.5" hidden="1" customHeight="1" x14ac:dyDescent="0.15">
      <c r="A65" t="s">
        <v>84</v>
      </c>
      <c r="B65">
        <v>0</v>
      </c>
      <c r="C65">
        <v>3</v>
      </c>
      <c r="D65">
        <v>3</v>
      </c>
      <c r="E65">
        <v>6</v>
      </c>
      <c r="F65">
        <v>0</v>
      </c>
      <c r="G65">
        <v>46</v>
      </c>
      <c r="H65">
        <v>42</v>
      </c>
      <c r="I65">
        <v>14</v>
      </c>
      <c r="J65">
        <v>3</v>
      </c>
      <c r="K65">
        <v>0</v>
      </c>
      <c r="L65">
        <v>0</v>
      </c>
      <c r="M65">
        <v>0</v>
      </c>
      <c r="N65">
        <v>0</v>
      </c>
      <c r="O65">
        <v>0</v>
      </c>
      <c r="P65">
        <v>0</v>
      </c>
      <c r="Q65">
        <v>0</v>
      </c>
      <c r="R65">
        <v>0</v>
      </c>
      <c r="S65">
        <v>0</v>
      </c>
      <c r="T65">
        <v>0</v>
      </c>
      <c r="U65">
        <v>0</v>
      </c>
      <c r="V65">
        <v>0</v>
      </c>
      <c r="W65">
        <v>0</v>
      </c>
      <c r="X65">
        <v>0</v>
      </c>
      <c r="Y65">
        <v>0</v>
      </c>
      <c r="Z65">
        <v>0</v>
      </c>
      <c r="AA65">
        <v>0</v>
      </c>
      <c r="AB65">
        <v>8</v>
      </c>
      <c r="AC65">
        <v>23</v>
      </c>
    </row>
  </sheetData>
  <sheetProtection formatColumns="0" formatRows="0" insertRows="0" deleteColumns="0" deleteRows="0" sort="0" autoFilter="0"/>
  <mergeCells count="16">
    <mergeCell ref="A48:A50"/>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3">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x14ac:dyDescent="0.15"/>
  <cols>
    <col min="1" max="1" width="6.42578125" hidden="1" customWidth="1"/>
    <col min="2" max="2" width="2" hidden="1" customWidth="1"/>
    <col min="3" max="3" width="3" customWidth="1"/>
    <col min="4" max="4" width="4" customWidth="1"/>
    <col min="5" max="5" width="44" customWidth="1"/>
    <col min="6" max="6" width="6.42578125" customWidth="1"/>
    <col min="7" max="7" width="4" customWidth="1"/>
    <col min="8" max="8" width="5" customWidth="1"/>
    <col min="9" max="9" width="52" customWidth="1"/>
    <col min="10" max="10" width="7" customWidth="1"/>
    <col min="11" max="11" width="3" customWidth="1"/>
    <col min="12" max="12" width="6" customWidth="1"/>
    <col min="13" max="13" width="56" customWidth="1"/>
    <col min="14" max="14" width="8" customWidth="1"/>
    <col min="15" max="37" width="9.140625" hidden="1"/>
    <col min="38" max="38" width="8" customWidth="1"/>
    <col min="39" max="39" width="9.140625" hidden="1"/>
  </cols>
  <sheetData>
    <row r="1" spans="1:39" ht="11.25" hidden="1" customHeight="1" x14ac:dyDescent="0.15">
      <c r="AM1" t="s">
        <v>14</v>
      </c>
    </row>
    <row r="2" spans="1:39" ht="11.25" hidden="1" customHeight="1" x14ac:dyDescent="0.15">
      <c r="AM2">
        <v>0</v>
      </c>
    </row>
    <row r="3" spans="1:39" ht="11.45" customHeight="1" x14ac:dyDescent="0.15">
      <c r="AM3">
        <v>11</v>
      </c>
    </row>
    <row r="4" spans="1:39" ht="35.65" customHeight="1" x14ac:dyDescent="0.15">
      <c r="D4" s="1" t="str">
        <f>Титульный!E5</f>
        <v>Показатели, подлежащие раскрытию в сфере водоотведения (цены и тарифы)</v>
      </c>
      <c r="E4" s="1"/>
      <c r="F4" s="1"/>
      <c r="G4" s="1"/>
      <c r="H4" s="1"/>
      <c r="I4" s="1"/>
      <c r="AM4">
        <v>34</v>
      </c>
    </row>
    <row r="5" spans="1:39" ht="14.65" customHeight="1" x14ac:dyDescent="0.15">
      <c r="D5" s="1" t="str">
        <f>IF(org=0,"Не определено",org)</f>
        <v>КГУП "Примтеплоэнерго"</v>
      </c>
      <c r="E5" s="1"/>
      <c r="F5" s="1"/>
      <c r="G5" s="1"/>
      <c r="H5" s="1"/>
      <c r="I5" s="1"/>
      <c r="AM5">
        <v>14</v>
      </c>
    </row>
    <row r="6" spans="1:39" ht="6.4" customHeight="1" x14ac:dyDescent="0.15">
      <c r="A6" s="1"/>
      <c r="B6" s="1"/>
      <c r="C6" s="1"/>
      <c r="D6" s="1"/>
      <c r="E6" s="1"/>
      <c r="F6" s="1"/>
      <c r="AM6">
        <v>6</v>
      </c>
    </row>
    <row r="7" spans="1:39" ht="45.75" hidden="1" customHeight="1" x14ac:dyDescent="0.15">
      <c r="E7" s="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
      <c r="G7" s="1"/>
      <c r="H7" s="1"/>
      <c r="I7" s="1"/>
      <c r="J7" s="1"/>
      <c r="K7" s="1"/>
      <c r="L7" s="1"/>
      <c r="M7" s="1"/>
      <c r="AM7">
        <v>0</v>
      </c>
    </row>
    <row r="8" spans="1:39" ht="6.4" customHeight="1" x14ac:dyDescent="0.15">
      <c r="AM8">
        <v>6</v>
      </c>
    </row>
    <row r="9" spans="1:39" ht="18.75" customHeight="1" x14ac:dyDescent="0.15">
      <c r="A9" s="1"/>
      <c r="D9" s="1" t="s">
        <v>165</v>
      </c>
      <c r="E9" s="1"/>
      <c r="F9" s="1" t="s">
        <v>166</v>
      </c>
      <c r="G9" s="1"/>
      <c r="H9" s="1"/>
      <c r="I9" s="1"/>
      <c r="J9" s="1" t="s">
        <v>167</v>
      </c>
      <c r="K9" s="1"/>
      <c r="L9" s="1"/>
      <c r="M9" s="1"/>
      <c r="AM9">
        <v>18</v>
      </c>
    </row>
    <row r="10" spans="1:39" ht="24" customHeight="1" x14ac:dyDescent="0.15">
      <c r="A10" s="1"/>
      <c r="D10" t="s">
        <v>90</v>
      </c>
      <c r="E10" t="s">
        <v>91</v>
      </c>
      <c r="F10" t="s">
        <v>168</v>
      </c>
      <c r="G10" s="1" t="s">
        <v>90</v>
      </c>
      <c r="H10" s="1"/>
      <c r="I10" t="s">
        <v>91</v>
      </c>
      <c r="J10" t="s">
        <v>168</v>
      </c>
      <c r="K10" s="1" t="s">
        <v>90</v>
      </c>
      <c r="L10" s="1"/>
      <c r="M10" t="s">
        <v>91</v>
      </c>
      <c r="AM10">
        <v>23</v>
      </c>
    </row>
    <row r="11" spans="1:39" ht="11.25" hidden="1" customHeight="1" x14ac:dyDescent="0.15">
      <c r="D11" t="s">
        <v>101</v>
      </c>
      <c r="E11" t="s">
        <v>105</v>
      </c>
      <c r="F11" t="s">
        <v>92</v>
      </c>
      <c r="G11" s="1" t="s">
        <v>93</v>
      </c>
      <c r="H11" s="1"/>
      <c r="I11" t="s">
        <v>120</v>
      </c>
      <c r="J11" t="s">
        <v>94</v>
      </c>
      <c r="K11" s="1" t="s">
        <v>95</v>
      </c>
      <c r="L11" s="1"/>
      <c r="M11" t="s">
        <v>134</v>
      </c>
      <c r="AM11">
        <v>0</v>
      </c>
    </row>
    <row r="12" spans="1:39" ht="1.1499999999999999" customHeight="1" x14ac:dyDescent="0.15">
      <c r="O12" t="s">
        <v>169</v>
      </c>
      <c r="P12" t="s">
        <v>170</v>
      </c>
      <c r="Q12" t="s">
        <v>171</v>
      </c>
      <c r="R12" t="s">
        <v>172</v>
      </c>
      <c r="AM12">
        <v>1</v>
      </c>
    </row>
    <row r="13" spans="1:39" ht="15.75" customHeight="1" x14ac:dyDescent="0.15">
      <c r="D13" s="1" t="s">
        <v>101</v>
      </c>
      <c r="E13" s="1"/>
      <c r="F13" s="1" t="s">
        <v>63</v>
      </c>
      <c r="G13" s="1"/>
      <c r="H13" s="1">
        <v>1</v>
      </c>
      <c r="I13" s="1" t="str">
        <f>IF(U13="","",INDEX(TERRITORY_MR_LIST,MATCH(U13,TERRITORY_LIST_ID,0)))</f>
        <v/>
      </c>
      <c r="J13" s="1" t="s">
        <v>19</v>
      </c>
      <c r="L13" t="s">
        <v>101</v>
      </c>
      <c r="M13" t="s">
        <v>28</v>
      </c>
      <c r="O13" t="s">
        <v>173</v>
      </c>
      <c r="P13">
        <f>$E$13</f>
        <v>0</v>
      </c>
      <c r="Q13" t="str">
        <f>IF($F$13="нет","без дифференциации",$I$13)</f>
        <v/>
      </c>
      <c r="R13" t="str">
        <f>IF($J$13="нет","без дифференциации",M13)</f>
        <v>без дифференциации</v>
      </c>
      <c r="Y13" t="s">
        <v>174</v>
      </c>
      <c r="Z13">
        <v>1705000</v>
      </c>
      <c r="AM13">
        <v>15</v>
      </c>
    </row>
    <row r="14" spans="1:39" ht="15.75" customHeight="1" x14ac:dyDescent="0.15">
      <c r="D14" s="1"/>
      <c r="E14" s="1"/>
      <c r="F14" s="1"/>
      <c r="G14" s="1"/>
      <c r="H14" s="1"/>
      <c r="I14" s="1"/>
      <c r="J14" s="1"/>
      <c r="M14" t="s">
        <v>175</v>
      </c>
      <c r="AM14">
        <v>15</v>
      </c>
    </row>
    <row r="15" spans="1:39" ht="15.75" customHeight="1" x14ac:dyDescent="0.15">
      <c r="D15" s="1"/>
      <c r="E15" s="1"/>
      <c r="F15" s="1"/>
      <c r="I15" t="s">
        <v>176</v>
      </c>
      <c r="AM15">
        <v>15</v>
      </c>
    </row>
    <row r="16" spans="1:39" ht="15.75" customHeight="1" x14ac:dyDescent="0.15">
      <c r="E16" t="s">
        <v>177</v>
      </c>
      <c r="K16" t="s">
        <v>28</v>
      </c>
      <c r="AM16">
        <v>15</v>
      </c>
    </row>
    <row r="17" spans="1:39" ht="11.25" hidden="1" customHeight="1" x14ac:dyDescent="0.15">
      <c r="A17" t="s">
        <v>84</v>
      </c>
      <c r="B17">
        <v>0</v>
      </c>
      <c r="C17">
        <v>3</v>
      </c>
      <c r="D17">
        <v>4</v>
      </c>
      <c r="E17">
        <v>44</v>
      </c>
      <c r="F17">
        <v>6</v>
      </c>
      <c r="G17">
        <v>4</v>
      </c>
      <c r="H17">
        <v>5</v>
      </c>
      <c r="I17">
        <v>52</v>
      </c>
      <c r="J17">
        <v>6</v>
      </c>
      <c r="K17">
        <v>3</v>
      </c>
      <c r="L17">
        <v>6</v>
      </c>
      <c r="M17">
        <v>56</v>
      </c>
      <c r="N17">
        <v>8</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8</v>
      </c>
      <c r="AM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92"/>
  <sheetViews>
    <sheetView showGridLines="0" topLeftCell="C4" zoomScale="90" workbookViewId="0">
      <selection activeCell="R169" sqref="R169"/>
    </sheetView>
  </sheetViews>
  <sheetFormatPr defaultColWidth="9.140625" defaultRowHeight="11.25" customHeight="1" x14ac:dyDescent="0.15"/>
  <cols>
    <col min="1" max="2" width="3.7109375" hidden="1" customWidth="1"/>
    <col min="3" max="3" width="3" customWidth="1"/>
    <col min="4" max="4" width="6" customWidth="1"/>
    <col min="5" max="5" width="42" customWidth="1"/>
    <col min="6" max="6" width="15" customWidth="1"/>
    <col min="7" max="7" width="42" customWidth="1"/>
    <col min="8" max="8" width="3" customWidth="1"/>
    <col min="9" max="9" width="5" customWidth="1"/>
    <col min="10" max="10" width="47" customWidth="1"/>
    <col min="11" max="12" width="3" customWidth="1"/>
    <col min="13" max="13" width="5" customWidth="1"/>
    <col min="14" max="14" width="28" customWidth="1"/>
    <col min="15" max="16" width="3" customWidth="1"/>
    <col min="17" max="17" width="5" customWidth="1"/>
    <col min="18" max="18" width="34" customWidth="1"/>
    <col min="19" max="20" width="3.7109375" hidden="1" customWidth="1"/>
    <col min="21" max="21" width="5.7109375" hidden="1" customWidth="1"/>
    <col min="22" max="22" width="34.42578125" hidden="1" customWidth="1"/>
    <col min="23" max="23" width="30" customWidth="1"/>
    <col min="24" max="24" width="3" customWidth="1"/>
    <col min="25" max="28" width="9.85546875" hidden="1" customWidth="1"/>
    <col min="29" max="29" width="27" hidden="1" customWidth="1"/>
    <col min="30" max="30" width="10.5703125" hidden="1" customWidth="1"/>
    <col min="31" max="31" width="10.7109375" hidden="1" customWidth="1"/>
    <col min="32" max="32" width="10" hidden="1" customWidth="1"/>
    <col min="33" max="33" width="12.85546875" hidden="1" customWidth="1"/>
    <col min="34" max="34" width="24.42578125" hidden="1" customWidth="1"/>
    <col min="35" max="35" width="15.85546875" hidden="1" customWidth="1"/>
    <col min="36" max="36" width="19.42578125" hidden="1" customWidth="1"/>
    <col min="37" max="37" width="11" hidden="1" customWidth="1"/>
    <col min="38" max="38" width="23.5703125" hidden="1" customWidth="1"/>
    <col min="39" max="39" width="23.85546875" hidden="1" customWidth="1"/>
    <col min="40" max="40" width="25.28515625" hidden="1" customWidth="1"/>
    <col min="41" max="41" width="16.85546875" hidden="1" customWidth="1"/>
    <col min="42" max="42" width="29.5703125" hidden="1" customWidth="1"/>
    <col min="43" max="43" width="29.85546875" hidden="1" customWidth="1"/>
    <col min="44" max="44" width="9.140625" hidden="1"/>
  </cols>
  <sheetData>
    <row r="1" spans="4:44" ht="11.25" hidden="1" customHeight="1" x14ac:dyDescent="0.15">
      <c r="AR1" t="s">
        <v>14</v>
      </c>
    </row>
    <row r="2" spans="4:44" ht="11.25" hidden="1" customHeight="1" x14ac:dyDescent="0.15">
      <c r="AR2">
        <v>0</v>
      </c>
    </row>
    <row r="3" spans="4:44" ht="11.25" hidden="1" customHeight="1" x14ac:dyDescent="0.15">
      <c r="AR3">
        <v>0</v>
      </c>
    </row>
    <row r="4" spans="4:44" ht="3" customHeight="1" x14ac:dyDescent="0.15">
      <c r="AR4">
        <v>3</v>
      </c>
    </row>
    <row r="5" spans="4:44" ht="30.4" customHeight="1" x14ac:dyDescent="0.15">
      <c r="D5" s="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
      <c r="F5" s="1"/>
      <c r="G5" s="1"/>
      <c r="H5" s="1"/>
      <c r="I5" s="1"/>
      <c r="J5" s="1"/>
      <c r="AR5">
        <v>29</v>
      </c>
    </row>
    <row r="6" spans="4:44" ht="14.65" customHeight="1" x14ac:dyDescent="0.15">
      <c r="D6" s="1" t="str">
        <f>IF(org=0,"Не определено",org)</f>
        <v>КГУП "Примтеплоэнерго"</v>
      </c>
      <c r="E6" s="1"/>
      <c r="F6" s="1"/>
      <c r="G6" s="1"/>
      <c r="H6" s="1"/>
      <c r="I6" s="1"/>
      <c r="J6" s="1"/>
      <c r="AR6">
        <v>14</v>
      </c>
    </row>
    <row r="7" spans="4:44" ht="11.45" customHeight="1" x14ac:dyDescent="0.15">
      <c r="D7" s="1"/>
      <c r="E7" s="1"/>
      <c r="F7" s="1"/>
      <c r="G7" s="1"/>
      <c r="H7" s="1"/>
      <c r="I7" s="1"/>
      <c r="J7" s="1"/>
      <c r="AR7">
        <v>11</v>
      </c>
    </row>
    <row r="8" spans="4:44" ht="1.1499999999999999" customHeight="1" x14ac:dyDescent="0.15">
      <c r="AR8">
        <v>1</v>
      </c>
    </row>
    <row r="9" spans="4:44" ht="28.5" customHeight="1" x14ac:dyDescent="0.15">
      <c r="D9" s="1" t="s">
        <v>90</v>
      </c>
      <c r="E9" s="1" t="s">
        <v>178</v>
      </c>
      <c r="F9" s="1"/>
      <c r="G9" s="1" t="s">
        <v>165</v>
      </c>
      <c r="H9" s="1" t="s">
        <v>90</v>
      </c>
      <c r="I9" s="1"/>
      <c r="J9" s="1" t="s">
        <v>179</v>
      </c>
      <c r="K9" s="1" t="s">
        <v>180</v>
      </c>
      <c r="L9" s="1"/>
      <c r="M9" s="1"/>
      <c r="N9" s="1"/>
      <c r="O9" s="1" t="s">
        <v>181</v>
      </c>
      <c r="P9" s="1"/>
      <c r="Q9" s="1"/>
      <c r="R9" s="1"/>
      <c r="S9" s="1" t="s">
        <v>182</v>
      </c>
      <c r="T9" s="1"/>
      <c r="U9" s="1"/>
      <c r="V9" s="1"/>
      <c r="W9" s="1" t="s">
        <v>183</v>
      </c>
      <c r="AR9">
        <v>27</v>
      </c>
    </row>
    <row r="10" spans="4:44" ht="31.5" customHeight="1" x14ac:dyDescent="0.15">
      <c r="D10" s="1"/>
      <c r="E10" t="s">
        <v>91</v>
      </c>
      <c r="F10" t="s">
        <v>184</v>
      </c>
      <c r="G10" s="1"/>
      <c r="H10" s="1"/>
      <c r="I10" s="1"/>
      <c r="J10" s="1"/>
      <c r="K10" t="s">
        <v>168</v>
      </c>
      <c r="L10" s="1" t="s">
        <v>90</v>
      </c>
      <c r="M10" s="1"/>
      <c r="N10" t="s">
        <v>185</v>
      </c>
      <c r="O10" t="s">
        <v>168</v>
      </c>
      <c r="P10" s="1" t="s">
        <v>90</v>
      </c>
      <c r="Q10" s="1"/>
      <c r="R10" t="s">
        <v>185</v>
      </c>
      <c r="S10" t="s">
        <v>168</v>
      </c>
      <c r="T10" s="1" t="s">
        <v>90</v>
      </c>
      <c r="U10" s="1"/>
      <c r="V10" t="s">
        <v>91</v>
      </c>
      <c r="W10" s="1"/>
      <c r="Z10" t="s">
        <v>186</v>
      </c>
      <c r="AA10" t="s">
        <v>187</v>
      </c>
      <c r="AB10" t="s">
        <v>188</v>
      </c>
      <c r="AC10" t="s">
        <v>189</v>
      </c>
      <c r="AD10" t="s">
        <v>190</v>
      </c>
      <c r="AE10" t="s">
        <v>191</v>
      </c>
      <c r="AF10" t="s">
        <v>192</v>
      </c>
      <c r="AG10" t="s">
        <v>193</v>
      </c>
      <c r="AH10" t="s">
        <v>194</v>
      </c>
      <c r="AI10" t="s">
        <v>195</v>
      </c>
      <c r="AJ10" t="s">
        <v>196</v>
      </c>
      <c r="AK10" t="s">
        <v>197</v>
      </c>
      <c r="AL10" t="s">
        <v>198</v>
      </c>
      <c r="AM10" t="s">
        <v>199</v>
      </c>
      <c r="AN10" t="s">
        <v>200</v>
      </c>
      <c r="AO10" t="s">
        <v>201</v>
      </c>
      <c r="AP10" t="s">
        <v>202</v>
      </c>
      <c r="AQ10" t="s">
        <v>203</v>
      </c>
      <c r="AR10">
        <v>30</v>
      </c>
    </row>
    <row r="11" spans="4:44" ht="12" hidden="1" customHeight="1" x14ac:dyDescent="0.15">
      <c r="D11" t="s">
        <v>101</v>
      </c>
      <c r="E11" t="s">
        <v>105</v>
      </c>
      <c r="G11" t="s">
        <v>92</v>
      </c>
      <c r="H11" s="1" t="s">
        <v>120</v>
      </c>
      <c r="I11" s="1"/>
      <c r="J11" t="s">
        <v>94</v>
      </c>
      <c r="K11" t="s">
        <v>95</v>
      </c>
      <c r="L11" s="1" t="s">
        <v>134</v>
      </c>
      <c r="M11" s="1"/>
      <c r="N11" t="s">
        <v>139</v>
      </c>
      <c r="O11" t="s">
        <v>145</v>
      </c>
      <c r="P11" s="1" t="s">
        <v>150</v>
      </c>
      <c r="Q11" s="1"/>
      <c r="R11" t="s">
        <v>154</v>
      </c>
      <c r="S11" t="s">
        <v>150</v>
      </c>
      <c r="T11" s="1" t="s">
        <v>154</v>
      </c>
      <c r="U11" s="1"/>
      <c r="V11" t="s">
        <v>158</v>
      </c>
      <c r="W11" t="s">
        <v>204</v>
      </c>
      <c r="AR11">
        <v>0</v>
      </c>
    </row>
    <row r="12" spans="4:44" ht="14.25" hidden="1" customHeight="1" x14ac:dyDescent="0.15">
      <c r="D12">
        <v>0</v>
      </c>
      <c r="AR12">
        <v>0</v>
      </c>
    </row>
    <row r="13" spans="4:44" ht="17.25" hidden="1" customHeight="1" x14ac:dyDescent="0.15">
      <c r="D13" s="1">
        <v>1</v>
      </c>
      <c r="E13" s="1" t="s">
        <v>205</v>
      </c>
      <c r="F13" s="1" t="s">
        <v>19</v>
      </c>
      <c r="G13" s="1"/>
      <c r="H13" s="1"/>
      <c r="I13" s="1"/>
      <c r="J13" s="1"/>
      <c r="K13" s="1"/>
      <c r="L13" s="1"/>
      <c r="M13" s="1"/>
      <c r="N13" s="1"/>
      <c r="O13" s="1"/>
      <c r="P13" s="1"/>
      <c r="Q13" s="1"/>
      <c r="R13" s="1"/>
      <c r="S13" s="1"/>
      <c r="AC13" t="s">
        <v>206</v>
      </c>
      <c r="AD13" t="s">
        <v>207</v>
      </c>
      <c r="AE13" t="s">
        <v>208</v>
      </c>
      <c r="AF13" t="s">
        <v>209</v>
      </c>
      <c r="AG13" t="s">
        <v>210</v>
      </c>
      <c r="AH1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t="str">
        <f>IF($G$13=0,"",$G$13)</f>
        <v/>
      </c>
      <c r="AJ13" t="str">
        <f>IF($J$13=0,"",$J$13)</f>
        <v/>
      </c>
      <c r="AK13" t="str">
        <f>IF($K$13="нет","без дифференциации",IF($N$13=0,"",$N$13))</f>
        <v/>
      </c>
      <c r="AL13" t="str">
        <f>IF($O$13="нет","без дифференциации",IF($R$13=0,"",$R$13))</f>
        <v/>
      </c>
      <c r="AM13" t="str">
        <f>IF($S$13="нет","без дифференциации",IF($V$13=0,"",$V$13))</f>
        <v/>
      </c>
      <c r="AN13">
        <f>$I$13</f>
        <v>0</v>
      </c>
      <c r="AO13" t="str">
        <f>$I$13&amp;"."&amp;$M$13</f>
        <v>.</v>
      </c>
      <c r="AP13" t="str">
        <f>$I$13&amp;"."&amp;$M$13&amp;"."&amp;$Q$13</f>
        <v>..</v>
      </c>
      <c r="AQ13" t="str">
        <f>$I$13&amp;"."&amp;$M$13&amp;"."&amp;$Q$13&amp;"."&amp;$U$13</f>
        <v>...</v>
      </c>
      <c r="AR13">
        <v>0</v>
      </c>
    </row>
    <row r="14" spans="4:44" ht="17.25" hidden="1" customHeight="1" x14ac:dyDescent="0.15">
      <c r="D14" s="1"/>
      <c r="E14" s="1"/>
      <c r="F14" s="1"/>
      <c r="G14" s="1"/>
      <c r="H14" s="1"/>
      <c r="I14" s="1"/>
      <c r="J14" s="1"/>
      <c r="K14" s="1"/>
      <c r="L14" s="1"/>
      <c r="M14" s="1"/>
      <c r="N14" s="1"/>
      <c r="O14" s="1"/>
      <c r="P14" s="1"/>
      <c r="Q14" s="1"/>
      <c r="R14" s="1"/>
      <c r="S14" s="1"/>
      <c r="AR14">
        <v>0</v>
      </c>
    </row>
    <row r="15" spans="4:44" ht="17.25" hidden="1" customHeight="1" x14ac:dyDescent="0.15">
      <c r="D15" s="1"/>
      <c r="E15" s="1"/>
      <c r="F15" s="1"/>
      <c r="G15" s="1"/>
      <c r="H15" s="1"/>
      <c r="I15" s="1"/>
      <c r="J15" s="1"/>
      <c r="K15" s="1"/>
      <c r="L15" s="1"/>
      <c r="M15" s="1"/>
      <c r="N15" s="1"/>
      <c r="O15" s="1"/>
      <c r="AR15">
        <v>0</v>
      </c>
    </row>
    <row r="16" spans="4:44" ht="17.25" hidden="1" customHeight="1" x14ac:dyDescent="0.15">
      <c r="D16" s="1"/>
      <c r="E16" s="1"/>
      <c r="F16" s="1"/>
      <c r="G16" s="1"/>
      <c r="H16" s="1"/>
      <c r="I16" s="1"/>
      <c r="J16" s="1"/>
      <c r="K16" s="1"/>
      <c r="AR16">
        <v>0</v>
      </c>
    </row>
    <row r="17" spans="4:44" ht="17.25" hidden="1" customHeight="1" x14ac:dyDescent="0.15">
      <c r="D17" s="1"/>
      <c r="E17" s="1"/>
      <c r="F17" s="1"/>
      <c r="G17" s="1"/>
      <c r="AR17">
        <v>0</v>
      </c>
    </row>
    <row r="18" spans="4:44" ht="17.25" hidden="1" customHeight="1" x14ac:dyDescent="0.15">
      <c r="D18" s="1">
        <v>2</v>
      </c>
      <c r="E18" s="1"/>
      <c r="F18" s="1" t="s">
        <v>19</v>
      </c>
      <c r="G18" s="1"/>
      <c r="H18" s="1"/>
      <c r="I18" s="1"/>
      <c r="J18" s="1"/>
      <c r="K18" s="1"/>
      <c r="L18" s="1"/>
      <c r="M18" s="1"/>
      <c r="N18" s="1"/>
      <c r="O18" s="1"/>
      <c r="P18" s="1"/>
      <c r="Q18" s="1"/>
      <c r="R18" s="1"/>
      <c r="S18" s="1"/>
      <c r="AC18" t="s">
        <v>211</v>
      </c>
      <c r="AD18" t="s">
        <v>212</v>
      </c>
      <c r="AE18" t="s">
        <v>213</v>
      </c>
      <c r="AF18" t="s">
        <v>214</v>
      </c>
      <c r="AG18" t="s">
        <v>215</v>
      </c>
      <c r="AH18" t="str">
        <f>IF($E$18=0,"",$E$18)</f>
        <v/>
      </c>
      <c r="AI18" t="str">
        <f>IF($G$18=0,"",$G$18)</f>
        <v/>
      </c>
      <c r="AJ18" t="str">
        <f>IF($J$18=0,"",$J$18)</f>
        <v/>
      </c>
      <c r="AK18" t="str">
        <f>IF($K$18="нет","без дифференциации",IF($N$18=0,"",$N$18))</f>
        <v/>
      </c>
      <c r="AL18" t="str">
        <f>IF($O$18="нет","без дифференциации",IF($R$18=0,"",$R$18))</f>
        <v/>
      </c>
      <c r="AM18" t="str">
        <f>IF($S$18="нет","без дифференциации",IF($V$18=0,"",$V$18))</f>
        <v/>
      </c>
      <c r="AN18">
        <f>$I$18</f>
        <v>0</v>
      </c>
      <c r="AO18" t="str">
        <f>$I$18&amp;"."&amp;$M$18</f>
        <v>.</v>
      </c>
      <c r="AP18" t="str">
        <f>$I$18&amp;"."&amp;$M$18&amp;"."&amp;$Q$18</f>
        <v>..</v>
      </c>
      <c r="AQ18" t="str">
        <f>$I$18&amp;"."&amp;$M$18&amp;"."&amp;$Q$18&amp;"."&amp;$U$18</f>
        <v>...</v>
      </c>
      <c r="AR18">
        <v>0</v>
      </c>
    </row>
    <row r="19" spans="4:44" ht="17.25" hidden="1" customHeight="1" x14ac:dyDescent="0.15">
      <c r="D19" s="1"/>
      <c r="E19" s="1"/>
      <c r="F19" s="1"/>
      <c r="G19" s="1"/>
      <c r="H19" s="1"/>
      <c r="I19" s="1"/>
      <c r="J19" s="1"/>
      <c r="K19" s="1"/>
      <c r="L19" s="1"/>
      <c r="M19" s="1"/>
      <c r="N19" s="1"/>
      <c r="O19" s="1"/>
      <c r="P19" s="1"/>
      <c r="Q19" s="1"/>
      <c r="R19" s="1"/>
      <c r="S19" s="1"/>
      <c r="AR19">
        <v>0</v>
      </c>
    </row>
    <row r="20" spans="4:44" ht="17.25" hidden="1" customHeight="1" x14ac:dyDescent="0.15">
      <c r="D20" s="1"/>
      <c r="E20" s="1"/>
      <c r="F20" s="1"/>
      <c r="G20" s="1"/>
      <c r="H20" s="1"/>
      <c r="I20" s="1"/>
      <c r="J20" s="1"/>
      <c r="K20" s="1"/>
      <c r="L20" s="1"/>
      <c r="M20" s="1"/>
      <c r="N20" s="1"/>
      <c r="O20" s="1"/>
      <c r="AR20">
        <v>0</v>
      </c>
    </row>
    <row r="21" spans="4:44" ht="17.25" hidden="1" customHeight="1" x14ac:dyDescent="0.15">
      <c r="D21" s="1"/>
      <c r="E21" s="1"/>
      <c r="F21" s="1"/>
      <c r="G21" s="1"/>
      <c r="H21" s="1"/>
      <c r="I21" s="1"/>
      <c r="J21" s="1"/>
      <c r="K21" s="1"/>
      <c r="AR21">
        <v>0</v>
      </c>
    </row>
    <row r="22" spans="4:44" ht="17.25" hidden="1" customHeight="1" x14ac:dyDescent="0.15">
      <c r="D22" s="1"/>
      <c r="E22" s="1"/>
      <c r="F22" s="1"/>
      <c r="G22" s="1"/>
      <c r="AR22">
        <v>0</v>
      </c>
    </row>
    <row r="23" spans="4:44" ht="17.25" hidden="1" customHeight="1" x14ac:dyDescent="0.15">
      <c r="D23" s="1">
        <v>2</v>
      </c>
      <c r="E23" s="1" t="s">
        <v>216</v>
      </c>
      <c r="F23" s="1" t="s">
        <v>19</v>
      </c>
      <c r="G23" s="1"/>
      <c r="H23" s="1"/>
      <c r="I23" s="1"/>
      <c r="J23" s="1"/>
      <c r="K23" s="1"/>
      <c r="L23" s="1"/>
      <c r="M23" s="1"/>
      <c r="N23" s="1"/>
      <c r="O23" s="1"/>
      <c r="P23" s="1"/>
      <c r="Q23" s="1"/>
      <c r="R23" s="1"/>
      <c r="S23" s="1"/>
      <c r="AC23" t="s">
        <v>211</v>
      </c>
      <c r="AD23" t="s">
        <v>212</v>
      </c>
      <c r="AE23" t="s">
        <v>213</v>
      </c>
      <c r="AF23" t="s">
        <v>214</v>
      </c>
      <c r="AG23" t="s">
        <v>215</v>
      </c>
      <c r="AH23" t="str">
        <f>IF($E$23=0,"",$E$23)</f>
        <v>Тарифы на тепловую энергию (мощность), поставляемую теплоснабжающими организациями потребителям, другим теплоснабжающим организациям</v>
      </c>
      <c r="AI23" t="str">
        <f>IF($G$23=0,"",$G$23)</f>
        <v/>
      </c>
      <c r="AJ23" t="str">
        <f>IF($J$23=0,"",$J$23)</f>
        <v/>
      </c>
      <c r="AK23" t="str">
        <f>IF($K$23="нет","без дифференциации",IF($N$23=0,"",$N$23))</f>
        <v/>
      </c>
      <c r="AL23" t="str">
        <f>IF($O$23="нет","без дифференциации",IF($R$23=0,"",$R$23))</f>
        <v/>
      </c>
      <c r="AM23" t="str">
        <f>IF($S$23="нет","без дифференциации",IF($V$23=0,"",$V$23))</f>
        <v/>
      </c>
      <c r="AN23">
        <f>$I$23</f>
        <v>0</v>
      </c>
      <c r="AO23" t="str">
        <f>$I$23&amp;"."&amp;$M$23</f>
        <v>.</v>
      </c>
      <c r="AP23" t="str">
        <f>$I$23&amp;"."&amp;$M$23&amp;"."&amp;$Q$23</f>
        <v>..</v>
      </c>
      <c r="AQ23" t="str">
        <f>$I$23&amp;"."&amp;$M$23&amp;"."&amp;$Q$23&amp;"."&amp;$U$23</f>
        <v>...</v>
      </c>
      <c r="AR23">
        <v>0</v>
      </c>
    </row>
    <row r="24" spans="4:44" ht="17.25" hidden="1" customHeight="1" x14ac:dyDescent="0.15">
      <c r="D24" s="1"/>
      <c r="E24" s="1"/>
      <c r="F24" s="1"/>
      <c r="G24" s="1"/>
      <c r="H24" s="1"/>
      <c r="I24" s="1"/>
      <c r="J24" s="1"/>
      <c r="K24" s="1"/>
      <c r="L24" s="1"/>
      <c r="M24" s="1"/>
      <c r="N24" s="1"/>
      <c r="O24" s="1"/>
      <c r="P24" s="1"/>
      <c r="Q24" s="1"/>
      <c r="R24" s="1"/>
      <c r="S24" s="1"/>
      <c r="AR24">
        <v>0</v>
      </c>
    </row>
    <row r="25" spans="4:44" ht="17.25" hidden="1" customHeight="1" x14ac:dyDescent="0.15">
      <c r="D25" s="1"/>
      <c r="E25" s="1"/>
      <c r="F25" s="1"/>
      <c r="G25" s="1"/>
      <c r="H25" s="1"/>
      <c r="I25" s="1"/>
      <c r="J25" s="1"/>
      <c r="K25" s="1"/>
      <c r="L25" s="1"/>
      <c r="M25" s="1"/>
      <c r="N25" s="1"/>
      <c r="O25" s="1"/>
      <c r="AR25">
        <v>0</v>
      </c>
    </row>
    <row r="26" spans="4:44" ht="17.25" hidden="1" customHeight="1" x14ac:dyDescent="0.15">
      <c r="D26" s="1"/>
      <c r="E26" s="1"/>
      <c r="F26" s="1"/>
      <c r="G26" s="1"/>
      <c r="H26" s="1"/>
      <c r="I26" s="1"/>
      <c r="J26" s="1"/>
      <c r="K26" s="1"/>
      <c r="AR26">
        <v>0</v>
      </c>
    </row>
    <row r="27" spans="4:44" ht="17.25" hidden="1" customHeight="1" x14ac:dyDescent="0.15">
      <c r="D27" s="1"/>
      <c r="E27" s="1"/>
      <c r="F27" s="1"/>
      <c r="G27" s="1"/>
      <c r="AR27">
        <v>0</v>
      </c>
    </row>
    <row r="28" spans="4:44" ht="17.25" hidden="1" customHeight="1" x14ac:dyDescent="0.15">
      <c r="D28" s="1">
        <v>3</v>
      </c>
      <c r="E28" s="1" t="s">
        <v>217</v>
      </c>
      <c r="F28" s="1" t="s">
        <v>19</v>
      </c>
      <c r="G28" s="1"/>
      <c r="H28" s="1"/>
      <c r="I28" s="1"/>
      <c r="J28" s="1"/>
      <c r="K28" s="1"/>
      <c r="L28" s="1"/>
      <c r="M28" s="1"/>
      <c r="N28" s="1"/>
      <c r="O28" s="1"/>
      <c r="P28" s="1"/>
      <c r="Q28" s="1"/>
      <c r="R28" s="1"/>
      <c r="S28" s="1"/>
      <c r="AC28" t="s">
        <v>218</v>
      </c>
      <c r="AD28" t="s">
        <v>219</v>
      </c>
      <c r="AE28" t="s">
        <v>220</v>
      </c>
      <c r="AF28" t="s">
        <v>221</v>
      </c>
      <c r="AG28" t="s">
        <v>222</v>
      </c>
      <c r="AH28" t="str">
        <f>IF($E$28=0,"",$E$28)</f>
        <v>Тарифы на теплоноситель, поставляемый теплоснабжающими организациями потребителям, другим теплоснабжающим организациям</v>
      </c>
      <c r="AI28" t="str">
        <f>IF($G$28=0,"",$G$28)</f>
        <v/>
      </c>
      <c r="AJ28" t="str">
        <f>IF($J$28=0,"",$J$28)</f>
        <v/>
      </c>
      <c r="AK28" t="str">
        <f>IF($K$28="нет","без дифференциации",IF($N$28=0,"",$N$28))</f>
        <v/>
      </c>
      <c r="AL28" t="str">
        <f>IF($O$28="нет","без дифференциации",IF($R$28=0,"",$R$28))</f>
        <v/>
      </c>
      <c r="AM28" t="str">
        <f>IF($S$28="нет","без дифференциации",IF($V$28=0,"",$V$28))</f>
        <v/>
      </c>
      <c r="AN28">
        <f>$I$28</f>
        <v>0</v>
      </c>
      <c r="AO28" t="str">
        <f>$I$28&amp;"."&amp;$M$28</f>
        <v>.</v>
      </c>
      <c r="AP28" t="str">
        <f>$I$28&amp;"."&amp;$M$28&amp;"."&amp;$Q$28</f>
        <v>..</v>
      </c>
      <c r="AQ28" t="str">
        <f>$I$28&amp;"."&amp;$M$28&amp;"."&amp;$Q$28&amp;"."&amp;$U$28</f>
        <v>...</v>
      </c>
      <c r="AR28">
        <v>0</v>
      </c>
    </row>
    <row r="29" spans="4:44" ht="17.25" hidden="1" customHeight="1" x14ac:dyDescent="0.15">
      <c r="D29" s="1"/>
      <c r="E29" s="1"/>
      <c r="F29" s="1"/>
      <c r="G29" s="1"/>
      <c r="H29" s="1"/>
      <c r="I29" s="1"/>
      <c r="J29" s="1"/>
      <c r="K29" s="1"/>
      <c r="L29" s="1"/>
      <c r="M29" s="1"/>
      <c r="N29" s="1"/>
      <c r="O29" s="1"/>
      <c r="P29" s="1"/>
      <c r="Q29" s="1"/>
      <c r="R29" s="1"/>
      <c r="S29" s="1"/>
      <c r="AR29">
        <v>0</v>
      </c>
    </row>
    <row r="30" spans="4:44" ht="17.25" hidden="1" customHeight="1" x14ac:dyDescent="0.15">
      <c r="D30" s="1"/>
      <c r="E30" s="1"/>
      <c r="F30" s="1"/>
      <c r="G30" s="1"/>
      <c r="H30" s="1"/>
      <c r="I30" s="1"/>
      <c r="J30" s="1"/>
      <c r="K30" s="1"/>
      <c r="L30" s="1"/>
      <c r="M30" s="1"/>
      <c r="N30" s="1"/>
      <c r="O30" s="1"/>
      <c r="AR30">
        <v>0</v>
      </c>
    </row>
    <row r="31" spans="4:44" ht="17.25" hidden="1" customHeight="1" x14ac:dyDescent="0.15">
      <c r="D31" s="1"/>
      <c r="E31" s="1"/>
      <c r="F31" s="1"/>
      <c r="G31" s="1"/>
      <c r="H31" s="1"/>
      <c r="I31" s="1"/>
      <c r="J31" s="1"/>
      <c r="K31" s="1"/>
      <c r="AR31">
        <v>0</v>
      </c>
    </row>
    <row r="32" spans="4:44" ht="17.25" hidden="1" customHeight="1" x14ac:dyDescent="0.15">
      <c r="D32" s="1"/>
      <c r="E32" s="1"/>
      <c r="F32" s="1"/>
      <c r="G32" s="1"/>
      <c r="AR32">
        <v>0</v>
      </c>
    </row>
    <row r="33" spans="4:44" ht="17.25" hidden="1" customHeight="1" x14ac:dyDescent="0.15">
      <c r="D33" s="1">
        <v>4</v>
      </c>
      <c r="E33" s="1" t="s">
        <v>223</v>
      </c>
      <c r="F33" s="1" t="s">
        <v>19</v>
      </c>
      <c r="G33" s="1"/>
      <c r="H33" s="1"/>
      <c r="I33" s="1"/>
      <c r="J33" s="1"/>
      <c r="K33" s="1"/>
      <c r="L33" s="1"/>
      <c r="M33" s="1"/>
      <c r="N33" s="1"/>
      <c r="O33" s="1"/>
      <c r="P33" s="1"/>
      <c r="Q33" s="1"/>
      <c r="R33" s="1"/>
      <c r="S33" s="1"/>
      <c r="AC33" t="s">
        <v>224</v>
      </c>
      <c r="AD33" t="s">
        <v>225</v>
      </c>
      <c r="AE33" t="s">
        <v>226</v>
      </c>
      <c r="AF33" t="s">
        <v>227</v>
      </c>
      <c r="AG33" t="s">
        <v>228</v>
      </c>
      <c r="AH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t="str">
        <f>IF($G$33=0,"",$G$33)</f>
        <v/>
      </c>
      <c r="AJ33" t="str">
        <f>IF($J$33=0,"",$J$33)</f>
        <v/>
      </c>
      <c r="AK33" t="str">
        <f>IF($K$33="нет","без дифференциации",IF($N$33=0,"",$N$33))</f>
        <v/>
      </c>
      <c r="AL33" t="str">
        <f>IF($O$33="нет","без дифференциации",IF($R$33=0,"",$R$33))</f>
        <v/>
      </c>
      <c r="AM33" t="str">
        <f>IF($S$33="нет","без дифференциации",IF($V$33=0,"",$V$33))</f>
        <v/>
      </c>
      <c r="AN33">
        <f>$I$33</f>
        <v>0</v>
      </c>
      <c r="AO33" t="str">
        <f>$I$33&amp;"."&amp;$M$33</f>
        <v>.</v>
      </c>
      <c r="AP33" t="str">
        <f>$I$33&amp;"."&amp;$M$33&amp;"."&amp;$Q$33</f>
        <v>..</v>
      </c>
      <c r="AQ33" t="str">
        <f>$I$33&amp;"."&amp;$M$33&amp;"."&amp;$Q$33&amp;"."&amp;$U$33</f>
        <v>...</v>
      </c>
      <c r="AR33">
        <v>0</v>
      </c>
    </row>
    <row r="34" spans="4:44" ht="17.25" hidden="1" customHeight="1" x14ac:dyDescent="0.15">
      <c r="D34" s="1"/>
      <c r="E34" s="1"/>
      <c r="F34" s="1"/>
      <c r="G34" s="1"/>
      <c r="H34" s="1"/>
      <c r="I34" s="1"/>
      <c r="J34" s="1"/>
      <c r="K34" s="1"/>
      <c r="L34" s="1"/>
      <c r="M34" s="1"/>
      <c r="N34" s="1"/>
      <c r="O34" s="1"/>
      <c r="P34" s="1"/>
      <c r="Q34" s="1"/>
      <c r="R34" s="1"/>
      <c r="S34" s="1"/>
      <c r="AR34">
        <v>0</v>
      </c>
    </row>
    <row r="35" spans="4:44" ht="17.25" hidden="1" customHeight="1" x14ac:dyDescent="0.15">
      <c r="D35" s="1"/>
      <c r="E35" s="1"/>
      <c r="F35" s="1"/>
      <c r="G35" s="1"/>
      <c r="H35" s="1"/>
      <c r="I35" s="1"/>
      <c r="J35" s="1"/>
      <c r="K35" s="1"/>
      <c r="L35" s="1"/>
      <c r="M35" s="1"/>
      <c r="N35" s="1"/>
      <c r="O35" s="1"/>
      <c r="AR35">
        <v>0</v>
      </c>
    </row>
    <row r="36" spans="4:44" ht="17.25" hidden="1" customHeight="1" x14ac:dyDescent="0.15">
      <c r="D36" s="1"/>
      <c r="E36" s="1"/>
      <c r="F36" s="1"/>
      <c r="G36" s="1"/>
      <c r="H36" s="1"/>
      <c r="I36" s="1"/>
      <c r="J36" s="1"/>
      <c r="K36" s="1"/>
      <c r="AR36">
        <v>0</v>
      </c>
    </row>
    <row r="37" spans="4:44" ht="17.25" hidden="1" customHeight="1" x14ac:dyDescent="0.15">
      <c r="D37" s="1"/>
      <c r="E37" s="1"/>
      <c r="F37" s="1"/>
      <c r="G37" s="1"/>
      <c r="AR37">
        <v>0</v>
      </c>
    </row>
    <row r="38" spans="4:44" ht="17.25" hidden="1" customHeight="1" x14ac:dyDescent="0.15">
      <c r="D38" s="1">
        <v>5</v>
      </c>
      <c r="E38" s="1" t="s">
        <v>229</v>
      </c>
      <c r="F38" s="1" t="s">
        <v>19</v>
      </c>
      <c r="G38" s="1"/>
      <c r="H38" s="1"/>
      <c r="I38" s="1"/>
      <c r="J38" s="1"/>
      <c r="K38" s="1"/>
      <c r="L38" s="1"/>
      <c r="M38" s="1"/>
      <c r="N38" s="1"/>
      <c r="O38" s="1"/>
      <c r="P38" s="1"/>
      <c r="Q38" s="1"/>
      <c r="R38" s="1"/>
      <c r="S38" s="1"/>
      <c r="AC38" t="s">
        <v>230</v>
      </c>
      <c r="AD38" t="s">
        <v>231</v>
      </c>
      <c r="AE38" t="s">
        <v>232</v>
      </c>
      <c r="AF38" t="s">
        <v>233</v>
      </c>
      <c r="AG38" t="s">
        <v>234</v>
      </c>
      <c r="AH38" t="str">
        <f>IF($E$38=0,"",$E$38)</f>
        <v>Тарифы на услуги по передаче тепловой энергии</v>
      </c>
      <c r="AI38" t="str">
        <f>IF($G$38=0,"",$G$38)</f>
        <v/>
      </c>
      <c r="AJ38" t="str">
        <f>IF($J$38=0,"",$J$38)</f>
        <v/>
      </c>
      <c r="AK38" t="str">
        <f>IF($K$38="нет","без дифференциации",IF($N$38=0,"",$N$38))</f>
        <v/>
      </c>
      <c r="AL38" t="str">
        <f>IF($O$38="нет","без дифференциации",IF($R$38=0,"",$R$38))</f>
        <v/>
      </c>
      <c r="AM38" t="str">
        <f>IF($S$38="нет","без дифференциации",IF($V$38=0,"",$V$38))</f>
        <v/>
      </c>
      <c r="AN38">
        <f>$I$38</f>
        <v>0</v>
      </c>
      <c r="AO38" t="str">
        <f>$I$38&amp;"."&amp;$M$38</f>
        <v>.</v>
      </c>
      <c r="AP38" t="str">
        <f>$I$38&amp;"."&amp;$M$38&amp;"."&amp;$Q$38</f>
        <v>..</v>
      </c>
      <c r="AQ38" t="str">
        <f>$I$38&amp;"."&amp;$M$38&amp;"."&amp;$Q$38&amp;"."&amp;$U$38</f>
        <v>...</v>
      </c>
      <c r="AR38">
        <v>0</v>
      </c>
    </row>
    <row r="39" spans="4:44" ht="17.25" hidden="1" customHeight="1" x14ac:dyDescent="0.15">
      <c r="D39" s="1"/>
      <c r="E39" s="1"/>
      <c r="F39" s="1"/>
      <c r="G39" s="1"/>
      <c r="H39" s="1"/>
      <c r="I39" s="1"/>
      <c r="J39" s="1"/>
      <c r="K39" s="1"/>
      <c r="L39" s="1"/>
      <c r="M39" s="1"/>
      <c r="N39" s="1"/>
      <c r="O39" s="1"/>
      <c r="P39" s="1"/>
      <c r="Q39" s="1"/>
      <c r="R39" s="1"/>
      <c r="S39" s="1"/>
      <c r="AR39">
        <v>0</v>
      </c>
    </row>
    <row r="40" spans="4:44" ht="17.25" hidden="1" customHeight="1" x14ac:dyDescent="0.15">
      <c r="D40" s="1"/>
      <c r="E40" s="1"/>
      <c r="F40" s="1"/>
      <c r="G40" s="1"/>
      <c r="H40" s="1"/>
      <c r="I40" s="1"/>
      <c r="J40" s="1"/>
      <c r="K40" s="1"/>
      <c r="L40" s="1"/>
      <c r="M40" s="1"/>
      <c r="N40" s="1"/>
      <c r="O40" s="1"/>
      <c r="AR40">
        <v>0</v>
      </c>
    </row>
    <row r="41" spans="4:44" ht="17.25" hidden="1" customHeight="1" x14ac:dyDescent="0.15">
      <c r="D41" s="1"/>
      <c r="E41" s="1"/>
      <c r="F41" s="1"/>
      <c r="G41" s="1"/>
      <c r="H41" s="1"/>
      <c r="I41" s="1"/>
      <c r="J41" s="1"/>
      <c r="K41" s="1"/>
      <c r="AR41">
        <v>0</v>
      </c>
    </row>
    <row r="42" spans="4:44" ht="17.25" hidden="1" customHeight="1" x14ac:dyDescent="0.15">
      <c r="D42" s="1"/>
      <c r="E42" s="1"/>
      <c r="F42" s="1"/>
      <c r="G42" s="1"/>
      <c r="AR42">
        <v>0</v>
      </c>
    </row>
    <row r="43" spans="4:44" ht="17.25" hidden="1" customHeight="1" x14ac:dyDescent="0.15">
      <c r="D43" s="1">
        <v>6</v>
      </c>
      <c r="E43" s="1" t="s">
        <v>235</v>
      </c>
      <c r="F43" s="1" t="s">
        <v>19</v>
      </c>
      <c r="G43" s="1"/>
      <c r="H43" s="1"/>
      <c r="I43" s="1"/>
      <c r="J43" s="1"/>
      <c r="K43" s="1"/>
      <c r="L43" s="1"/>
      <c r="M43" s="1"/>
      <c r="N43" s="1"/>
      <c r="O43" s="1"/>
      <c r="P43" s="1"/>
      <c r="Q43" s="1"/>
      <c r="R43" s="1"/>
      <c r="S43" s="1"/>
      <c r="AC43" t="s">
        <v>236</v>
      </c>
      <c r="AD43" t="s">
        <v>237</v>
      </c>
      <c r="AE43" t="s">
        <v>238</v>
      </c>
      <c r="AF43" t="s">
        <v>239</v>
      </c>
      <c r="AG43" t="s">
        <v>240</v>
      </c>
      <c r="AH43" t="str">
        <f>IF($E$43=0,"",$E$43)</f>
        <v>Тарифы на услуги по передаче теплоносителя</v>
      </c>
      <c r="AI43" t="str">
        <f>IF($G$43=0,"",$G$43)</f>
        <v/>
      </c>
      <c r="AJ43" t="str">
        <f>IF($J$43=0,"",$J$43)</f>
        <v/>
      </c>
      <c r="AK43" t="str">
        <f>IF($K$43="нет","без дифференциации",IF($N$43=0,"",$N$43))</f>
        <v/>
      </c>
      <c r="AL43" t="str">
        <f>IF($O$43="нет","без дифференциации",IF($R$43=0,"",$R$43))</f>
        <v/>
      </c>
      <c r="AM43" t="str">
        <f>IF($S$43="нет","без дифференциации",IF($V$43=0,"",$V$43))</f>
        <v/>
      </c>
      <c r="AN43">
        <f>$I$43</f>
        <v>0</v>
      </c>
      <c r="AO43" t="str">
        <f>$I$43&amp;"."&amp;$M$43</f>
        <v>.</v>
      </c>
      <c r="AP43" t="str">
        <f>$I$43&amp;"."&amp;$M$43&amp;"."&amp;$Q$43</f>
        <v>..</v>
      </c>
      <c r="AQ43" t="str">
        <f>$I$43&amp;"."&amp;$M$43&amp;"."&amp;$Q$43&amp;"."&amp;$U$43</f>
        <v>...</v>
      </c>
      <c r="AR43">
        <v>0</v>
      </c>
    </row>
    <row r="44" spans="4:44" ht="17.25" hidden="1" customHeight="1" x14ac:dyDescent="0.15">
      <c r="D44" s="1"/>
      <c r="E44" s="1"/>
      <c r="F44" s="1"/>
      <c r="G44" s="1"/>
      <c r="H44" s="1"/>
      <c r="I44" s="1"/>
      <c r="J44" s="1"/>
      <c r="K44" s="1"/>
      <c r="L44" s="1"/>
      <c r="M44" s="1"/>
      <c r="N44" s="1"/>
      <c r="O44" s="1"/>
      <c r="P44" s="1"/>
      <c r="Q44" s="1"/>
      <c r="R44" s="1"/>
      <c r="S44" s="1"/>
      <c r="AR44">
        <v>0</v>
      </c>
    </row>
    <row r="45" spans="4:44" ht="17.25" hidden="1" customHeight="1" x14ac:dyDescent="0.15">
      <c r="D45" s="1"/>
      <c r="E45" s="1"/>
      <c r="F45" s="1"/>
      <c r="G45" s="1"/>
      <c r="H45" s="1"/>
      <c r="I45" s="1"/>
      <c r="J45" s="1"/>
      <c r="K45" s="1"/>
      <c r="L45" s="1"/>
      <c r="M45" s="1"/>
      <c r="N45" s="1"/>
      <c r="O45" s="1"/>
      <c r="AR45">
        <v>0</v>
      </c>
    </row>
    <row r="46" spans="4:44" ht="17.25" hidden="1" customHeight="1" x14ac:dyDescent="0.15">
      <c r="D46" s="1"/>
      <c r="E46" s="1"/>
      <c r="F46" s="1"/>
      <c r="G46" s="1"/>
      <c r="H46" s="1"/>
      <c r="I46" s="1"/>
      <c r="J46" s="1"/>
      <c r="K46" s="1"/>
      <c r="AR46">
        <v>0</v>
      </c>
    </row>
    <row r="47" spans="4:44" ht="17.25" hidden="1" customHeight="1" x14ac:dyDescent="0.15">
      <c r="D47" s="1"/>
      <c r="E47" s="1"/>
      <c r="F47" s="1"/>
      <c r="G47" s="1"/>
      <c r="AR47">
        <v>0</v>
      </c>
    </row>
    <row r="48" spans="4:44" ht="17.25" hidden="1" customHeight="1" x14ac:dyDescent="0.15">
      <c r="D48" s="1">
        <v>7</v>
      </c>
      <c r="E48" s="1" t="s">
        <v>241</v>
      </c>
      <c r="F48" s="1" t="s">
        <v>19</v>
      </c>
      <c r="G48" s="1"/>
      <c r="H48" s="1"/>
      <c r="I48" s="1"/>
      <c r="J48" s="1"/>
      <c r="K48" s="1"/>
      <c r="L48" s="1"/>
      <c r="M48" s="1"/>
      <c r="N48" s="1"/>
      <c r="O48" s="1"/>
      <c r="P48" s="1"/>
      <c r="Q48" s="1"/>
      <c r="R48" s="1"/>
      <c r="S48" s="1"/>
      <c r="AC48" t="s">
        <v>242</v>
      </c>
      <c r="AD48" t="s">
        <v>243</v>
      </c>
      <c r="AE48" t="s">
        <v>244</v>
      </c>
      <c r="AF48" t="s">
        <v>245</v>
      </c>
      <c r="AG48" t="s">
        <v>246</v>
      </c>
      <c r="AH48" t="str">
        <f>IF($E$48=0,"",$E$48)</f>
        <v>Плата за услуги по поддержанию резервной тепловой мощности при отсутствии потребления тепловой энергии</v>
      </c>
      <c r="AI48" t="str">
        <f>IF($G$48=0,"",$G$48)</f>
        <v/>
      </c>
      <c r="AJ48" t="str">
        <f>IF($J$48=0,"",$J$48)</f>
        <v/>
      </c>
      <c r="AK48" t="str">
        <f>IF($K$48="нет","без дифференциации",IF($N$48=0,"",$N$48))</f>
        <v/>
      </c>
      <c r="AL48" t="str">
        <f>IF($O$48="нет","без дифференциации",IF($R$48=0,"",$R$48))</f>
        <v/>
      </c>
      <c r="AM48" t="str">
        <f>IF($S$48="нет","без дифференциации",IF($V$48=0,"",$V$48))</f>
        <v/>
      </c>
      <c r="AN48">
        <f>$I$48</f>
        <v>0</v>
      </c>
      <c r="AO48" t="str">
        <f>$I$48&amp;"."&amp;$M$48</f>
        <v>.</v>
      </c>
      <c r="AP48" t="str">
        <f>$I$48&amp;"."&amp;$M$48&amp;"."&amp;$Q$48</f>
        <v>..</v>
      </c>
      <c r="AQ48" t="str">
        <f>$I$48&amp;"."&amp;$M$48&amp;"."&amp;$Q$48&amp;"."&amp;$U$48</f>
        <v>...</v>
      </c>
      <c r="AR48">
        <v>0</v>
      </c>
    </row>
    <row r="49" spans="4:44" ht="17.25" hidden="1" customHeight="1" x14ac:dyDescent="0.15">
      <c r="D49" s="1"/>
      <c r="E49" s="1"/>
      <c r="F49" s="1"/>
      <c r="G49" s="1"/>
      <c r="H49" s="1"/>
      <c r="I49" s="1"/>
      <c r="J49" s="1"/>
      <c r="K49" s="1"/>
      <c r="L49" s="1"/>
      <c r="M49" s="1"/>
      <c r="N49" s="1"/>
      <c r="O49" s="1"/>
      <c r="P49" s="1"/>
      <c r="Q49" s="1"/>
      <c r="R49" s="1"/>
      <c r="S49" s="1"/>
      <c r="AR49">
        <v>0</v>
      </c>
    </row>
    <row r="50" spans="4:44" ht="17.25" hidden="1" customHeight="1" x14ac:dyDescent="0.15">
      <c r="D50" s="1"/>
      <c r="E50" s="1"/>
      <c r="F50" s="1"/>
      <c r="G50" s="1"/>
      <c r="H50" s="1"/>
      <c r="I50" s="1"/>
      <c r="J50" s="1"/>
      <c r="K50" s="1"/>
      <c r="L50" s="1"/>
      <c r="M50" s="1"/>
      <c r="N50" s="1"/>
      <c r="O50" s="1"/>
      <c r="AR50">
        <v>0</v>
      </c>
    </row>
    <row r="51" spans="4:44" ht="17.25" hidden="1" customHeight="1" x14ac:dyDescent="0.15">
      <c r="D51" s="1"/>
      <c r="E51" s="1"/>
      <c r="F51" s="1"/>
      <c r="G51" s="1"/>
      <c r="H51" s="1"/>
      <c r="I51" s="1"/>
      <c r="J51" s="1"/>
      <c r="K51" s="1"/>
      <c r="AR51">
        <v>0</v>
      </c>
    </row>
    <row r="52" spans="4:44" ht="17.25" hidden="1" customHeight="1" x14ac:dyDescent="0.15">
      <c r="D52" s="1"/>
      <c r="E52" s="1"/>
      <c r="F52" s="1"/>
      <c r="G52" s="1"/>
      <c r="AR52">
        <v>0</v>
      </c>
    </row>
    <row r="53" spans="4:44" ht="17.25" hidden="1" customHeight="1" x14ac:dyDescent="0.15">
      <c r="D53" s="1">
        <v>8</v>
      </c>
      <c r="E53" s="1" t="s">
        <v>247</v>
      </c>
      <c r="F53" s="1" t="s">
        <v>19</v>
      </c>
      <c r="G53" s="1"/>
      <c r="H53" s="1"/>
      <c r="I53" s="1"/>
      <c r="J53" s="1"/>
      <c r="K53" s="1"/>
      <c r="L53" s="1"/>
      <c r="M53" s="1"/>
      <c r="N53" s="1"/>
      <c r="O53" s="1"/>
      <c r="P53" s="1"/>
      <c r="Q53" s="1"/>
      <c r="R53" s="1"/>
      <c r="S53" s="1"/>
      <c r="AC53" t="s">
        <v>248</v>
      </c>
      <c r="AD53" t="s">
        <v>249</v>
      </c>
      <c r="AE53" t="s">
        <v>250</v>
      </c>
      <c r="AF53" t="s">
        <v>251</v>
      </c>
      <c r="AG53" t="s">
        <v>252</v>
      </c>
      <c r="AH53" t="str">
        <f>IF($E$53=0,"",$E$53)</f>
        <v>Плата за подключение (технологическое присоединение) к системе теплоснабжения</v>
      </c>
      <c r="AI53" t="str">
        <f>IF($G$53=0,"",$G$53)</f>
        <v/>
      </c>
      <c r="AJ53" t="str">
        <f>IF($J$53=0,"",$J$53)</f>
        <v/>
      </c>
      <c r="AK53" t="str">
        <f>IF($K$53="нет","без дифференциации",IF($N$53=0,"",$N$53))</f>
        <v/>
      </c>
      <c r="AL53" t="str">
        <f>IF($O$53="нет","без дифференциации",IF($R$53=0,"",$R$53))</f>
        <v/>
      </c>
      <c r="AM53" t="str">
        <f>IF($S$53="нет","без дифференциации",IF($V$53=0,"",$V$53))</f>
        <v/>
      </c>
      <c r="AN53">
        <f>$I$53</f>
        <v>0</v>
      </c>
      <c r="AO53" t="str">
        <f>$I$53&amp;"."&amp;$M$53</f>
        <v>.</v>
      </c>
      <c r="AP53" t="str">
        <f>$I$53&amp;"."&amp;$M$53&amp;"."&amp;$Q$53</f>
        <v>..</v>
      </c>
      <c r="AQ53" t="str">
        <f>$I$53&amp;"."&amp;$M$53&amp;"."&amp;$Q$53&amp;"."&amp;$U$53</f>
        <v>...</v>
      </c>
      <c r="AR53">
        <v>0</v>
      </c>
    </row>
    <row r="54" spans="4:44" ht="17.25" hidden="1" customHeight="1" x14ac:dyDescent="0.15">
      <c r="D54" s="1"/>
      <c r="E54" s="1"/>
      <c r="F54" s="1"/>
      <c r="G54" s="1"/>
      <c r="H54" s="1"/>
      <c r="I54" s="1"/>
      <c r="J54" s="1"/>
      <c r="K54" s="1"/>
      <c r="L54" s="1"/>
      <c r="M54" s="1"/>
      <c r="N54" s="1"/>
      <c r="O54" s="1"/>
      <c r="P54" s="1"/>
      <c r="Q54" s="1"/>
      <c r="R54" s="1"/>
      <c r="S54" s="1"/>
      <c r="AR54">
        <v>0</v>
      </c>
    </row>
    <row r="55" spans="4:44" ht="17.25" hidden="1" customHeight="1" x14ac:dyDescent="0.15">
      <c r="D55" s="1"/>
      <c r="E55" s="1"/>
      <c r="F55" s="1"/>
      <c r="G55" s="1"/>
      <c r="H55" s="1"/>
      <c r="I55" s="1"/>
      <c r="J55" s="1"/>
      <c r="K55" s="1"/>
      <c r="L55" s="1"/>
      <c r="M55" s="1"/>
      <c r="N55" s="1"/>
      <c r="O55" s="1"/>
      <c r="AR55">
        <v>0</v>
      </c>
    </row>
    <row r="56" spans="4:44" ht="17.25" hidden="1" customHeight="1" x14ac:dyDescent="0.15">
      <c r="D56" s="1"/>
      <c r="E56" s="1"/>
      <c r="F56" s="1"/>
      <c r="G56" s="1"/>
      <c r="H56" s="1"/>
      <c r="I56" s="1"/>
      <c r="J56" s="1"/>
      <c r="K56" s="1"/>
      <c r="AR56">
        <v>0</v>
      </c>
    </row>
    <row r="57" spans="4:44" ht="17.25" hidden="1" customHeight="1" x14ac:dyDescent="0.15">
      <c r="D57" s="1"/>
      <c r="E57" s="1"/>
      <c r="F57" s="1"/>
      <c r="G57" s="1"/>
      <c r="AR57">
        <v>0</v>
      </c>
    </row>
    <row r="58" spans="4:44" ht="17.25" hidden="1" customHeight="1" x14ac:dyDescent="0.15">
      <c r="D58" s="1">
        <v>9</v>
      </c>
      <c r="E58" s="1" t="s">
        <v>253</v>
      </c>
      <c r="F58" s="1" t="s">
        <v>19</v>
      </c>
      <c r="G58" s="1"/>
      <c r="H58" s="1"/>
      <c r="I58" s="1"/>
      <c r="J58" s="1"/>
      <c r="K58" s="1"/>
      <c r="L58" s="1"/>
      <c r="M58" s="1"/>
      <c r="N58" s="1"/>
      <c r="O58" s="1"/>
      <c r="P58" s="1"/>
      <c r="Q58" s="1"/>
      <c r="R58" s="1"/>
      <c r="S58" s="1"/>
      <c r="AC58" t="s">
        <v>254</v>
      </c>
      <c r="AD58" t="s">
        <v>255</v>
      </c>
      <c r="AE58" t="s">
        <v>256</v>
      </c>
      <c r="AF58" t="s">
        <v>257</v>
      </c>
      <c r="AG58" t="s">
        <v>258</v>
      </c>
      <c r="AH58" t="str">
        <f>IF($E$58=0,"",$E$58)</f>
        <v>Плата за подключение (технологическое присоединение) к системе теплоснабжения (индивидуальная)</v>
      </c>
      <c r="AI58" t="str">
        <f>IF($G$58=0,"",$G$58)</f>
        <v/>
      </c>
      <c r="AJ58" t="str">
        <f>IF($J$58=0,"",$J$58)</f>
        <v/>
      </c>
      <c r="AK58" t="str">
        <f>IF($K$58="нет","без дифференциации",IF($N$58=0,"",$N$58))</f>
        <v/>
      </c>
      <c r="AL58" t="str">
        <f>IF($O$58="нет","без дифференциации",IF($R$58=0,"",$R$58))</f>
        <v/>
      </c>
      <c r="AM58" t="str">
        <f>IF($S$58="нет","без дифференциации",IF($V$58=0,"",$V$58))</f>
        <v/>
      </c>
      <c r="AN58">
        <f>$I$58</f>
        <v>0</v>
      </c>
      <c r="AO58" t="str">
        <f>$I$58&amp;"."&amp;$M$58</f>
        <v>.</v>
      </c>
      <c r="AP58" t="str">
        <f>$I$58&amp;"."&amp;$M$58&amp;"."&amp;$Q$58</f>
        <v>..</v>
      </c>
      <c r="AQ58" t="str">
        <f>$I$58&amp;"."&amp;$M$58&amp;"."&amp;$Q$58&amp;"."&amp;$U$58</f>
        <v>...</v>
      </c>
      <c r="AR58">
        <v>0</v>
      </c>
    </row>
    <row r="59" spans="4:44" ht="17.25" hidden="1" customHeight="1" x14ac:dyDescent="0.15">
      <c r="D59" s="1"/>
      <c r="E59" s="1"/>
      <c r="F59" s="1"/>
      <c r="G59" s="1"/>
      <c r="H59" s="1"/>
      <c r="I59" s="1"/>
      <c r="J59" s="1"/>
      <c r="K59" s="1"/>
      <c r="L59" s="1"/>
      <c r="M59" s="1"/>
      <c r="N59" s="1"/>
      <c r="O59" s="1"/>
      <c r="P59" s="1"/>
      <c r="Q59" s="1"/>
      <c r="R59" s="1"/>
      <c r="S59" s="1"/>
      <c r="AR59">
        <v>0</v>
      </c>
    </row>
    <row r="60" spans="4:44" ht="17.25" hidden="1" customHeight="1" x14ac:dyDescent="0.15">
      <c r="D60" s="1"/>
      <c r="E60" s="1"/>
      <c r="F60" s="1"/>
      <c r="G60" s="1"/>
      <c r="H60" s="1"/>
      <c r="I60" s="1"/>
      <c r="J60" s="1"/>
      <c r="K60" s="1"/>
      <c r="L60" s="1"/>
      <c r="M60" s="1"/>
      <c r="N60" s="1"/>
      <c r="O60" s="1"/>
      <c r="AR60">
        <v>0</v>
      </c>
    </row>
    <row r="61" spans="4:44" ht="17.25" hidden="1" customHeight="1" x14ac:dyDescent="0.15">
      <c r="D61" s="1"/>
      <c r="E61" s="1"/>
      <c r="F61" s="1"/>
      <c r="G61" s="1"/>
      <c r="H61" s="1"/>
      <c r="I61" s="1"/>
      <c r="J61" s="1"/>
      <c r="K61" s="1"/>
      <c r="AR61">
        <v>0</v>
      </c>
    </row>
    <row r="62" spans="4:44" ht="17.25" hidden="1" customHeight="1" x14ac:dyDescent="0.15">
      <c r="D62" s="1"/>
      <c r="E62" s="1"/>
      <c r="F62" s="1"/>
      <c r="G62" s="1"/>
      <c r="AR62">
        <v>0</v>
      </c>
    </row>
    <row r="63" spans="4:44" ht="17.25" hidden="1" customHeight="1" x14ac:dyDescent="0.15">
      <c r="D63" s="1">
        <v>10</v>
      </c>
      <c r="E63" s="1" t="s">
        <v>259</v>
      </c>
      <c r="F63" s="1" t="s">
        <v>19</v>
      </c>
      <c r="G63" s="1"/>
      <c r="H63" s="1"/>
      <c r="I63" s="1"/>
      <c r="J63" s="1"/>
      <c r="K63" s="1"/>
      <c r="L63" s="1"/>
      <c r="M63" s="1"/>
      <c r="N63" s="1"/>
      <c r="O63" s="1"/>
      <c r="P63" s="1"/>
      <c r="Q63" s="1"/>
      <c r="R63" s="1"/>
      <c r="S63" s="1"/>
      <c r="AC63" t="s">
        <v>260</v>
      </c>
      <c r="AD63" t="s">
        <v>261</v>
      </c>
      <c r="AE63" t="s">
        <v>262</v>
      </c>
      <c r="AF63" t="s">
        <v>263</v>
      </c>
      <c r="AG63" t="s">
        <v>264</v>
      </c>
      <c r="AH63" t="str">
        <f>IF($E$63=0,"",$E$63)</f>
        <v>Предельный уровень цены на тепловую энергию (мощность), поставляемую теплоснабжающими организациями потребителям</v>
      </c>
      <c r="AI63" t="str">
        <f>IF($G$63=0,"",$G$63)</f>
        <v/>
      </c>
      <c r="AJ63" t="str">
        <f>IF($J$63=0,"",$J$63)</f>
        <v/>
      </c>
      <c r="AK63" t="str">
        <f>IF($K$63="нет","без дифференциации",IF($N$63=0,"",$N$63))</f>
        <v/>
      </c>
      <c r="AL63" t="str">
        <f>IF($O$63="нет","без дифференциации",IF($R$63=0,"",$R$63))</f>
        <v/>
      </c>
      <c r="AM63" t="str">
        <f>IF($S$63="нет","без дифференциации",IF($V$63=0,"",$V$63))</f>
        <v/>
      </c>
      <c r="AN63">
        <f>$I$63</f>
        <v>0</v>
      </c>
      <c r="AO63" t="str">
        <f>$I$63&amp;"."&amp;$M$63</f>
        <v>.</v>
      </c>
      <c r="AP63" t="str">
        <f>$I$63&amp;"."&amp;$M$63&amp;"."&amp;$Q$63</f>
        <v>..</v>
      </c>
      <c r="AQ63" t="str">
        <f>$I$63&amp;"."&amp;$M$63&amp;"."&amp;$Q$63&amp;"."&amp;$U$63</f>
        <v>...</v>
      </c>
      <c r="AR63">
        <v>0</v>
      </c>
    </row>
    <row r="64" spans="4:44" ht="17.25" hidden="1" customHeight="1" x14ac:dyDescent="0.15">
      <c r="D64" s="1"/>
      <c r="E64" s="1"/>
      <c r="F64" s="1"/>
      <c r="G64" s="1"/>
      <c r="H64" s="1"/>
      <c r="I64" s="1"/>
      <c r="J64" s="1"/>
      <c r="K64" s="1"/>
      <c r="L64" s="1"/>
      <c r="M64" s="1"/>
      <c r="N64" s="1"/>
      <c r="O64" s="1"/>
      <c r="P64" s="1"/>
      <c r="Q64" s="1"/>
      <c r="R64" s="1"/>
      <c r="S64" s="1"/>
      <c r="AR64">
        <v>0</v>
      </c>
    </row>
    <row r="65" spans="4:44" ht="17.25" hidden="1" customHeight="1" x14ac:dyDescent="0.15">
      <c r="D65" s="1"/>
      <c r="E65" s="1"/>
      <c r="F65" s="1"/>
      <c r="G65" s="1"/>
      <c r="H65" s="1"/>
      <c r="I65" s="1"/>
      <c r="J65" s="1"/>
      <c r="K65" s="1"/>
      <c r="L65" s="1"/>
      <c r="M65" s="1"/>
      <c r="N65" s="1"/>
      <c r="O65" s="1"/>
      <c r="AR65">
        <v>0</v>
      </c>
    </row>
    <row r="66" spans="4:44" ht="17.25" hidden="1" customHeight="1" x14ac:dyDescent="0.15">
      <c r="D66" s="1"/>
      <c r="E66" s="1"/>
      <c r="F66" s="1"/>
      <c r="G66" s="1"/>
      <c r="H66" s="1"/>
      <c r="I66" s="1"/>
      <c r="J66" s="1"/>
      <c r="K66" s="1"/>
      <c r="AR66">
        <v>0</v>
      </c>
    </row>
    <row r="67" spans="4:44" ht="17.25" hidden="1" customHeight="1" x14ac:dyDescent="0.15">
      <c r="D67" s="1"/>
      <c r="E67" s="1"/>
      <c r="F67" s="1"/>
      <c r="G67" s="1"/>
      <c r="AR67">
        <v>0</v>
      </c>
    </row>
    <row r="68" spans="4:44" ht="11.25" hidden="1" customHeight="1" x14ac:dyDescent="0.15">
      <c r="AR68">
        <v>0</v>
      </c>
    </row>
    <row r="69" spans="4:44" ht="11.25" hidden="1" customHeight="1" x14ac:dyDescent="0.15">
      <c r="E69" s="1" t="s">
        <v>265</v>
      </c>
      <c r="F69" s="1"/>
      <c r="G69" s="1"/>
      <c r="H69" s="1"/>
      <c r="I69" s="1"/>
      <c r="J69" s="1"/>
      <c r="K69" s="1"/>
      <c r="L69" s="1"/>
      <c r="M69" s="1"/>
      <c r="N69" s="1"/>
      <c r="O69" s="1"/>
      <c r="P69" s="1"/>
      <c r="Q69" s="1"/>
      <c r="R69" s="1"/>
      <c r="S69" s="1"/>
      <c r="T69" s="1"/>
      <c r="U69" s="1"/>
      <c r="V69" s="1"/>
      <c r="W69" s="1"/>
      <c r="AR69">
        <v>0</v>
      </c>
    </row>
    <row r="70" spans="4:44" ht="36.75" hidden="1" customHeight="1" x14ac:dyDescent="0.15">
      <c r="E70" s="1" t="s">
        <v>266</v>
      </c>
      <c r="F70" s="1"/>
      <c r="G70" s="1"/>
      <c r="H70" s="1"/>
      <c r="I70" s="1"/>
      <c r="J70" s="1"/>
      <c r="K70" s="1"/>
      <c r="L70" s="1"/>
      <c r="M70" s="1"/>
      <c r="N70" s="1"/>
      <c r="O70" s="1"/>
      <c r="P70" s="1"/>
      <c r="Q70" s="1"/>
      <c r="R70" s="1"/>
      <c r="S70" s="1"/>
      <c r="T70" s="1"/>
      <c r="U70" s="1"/>
      <c r="V70" s="1"/>
      <c r="W70" s="1"/>
      <c r="AR70">
        <v>0</v>
      </c>
    </row>
    <row r="71" spans="4:44" ht="28.5" hidden="1" customHeight="1" x14ac:dyDescent="0.15">
      <c r="E71" s="1" t="s">
        <v>267</v>
      </c>
      <c r="F71" s="1"/>
      <c r="G71" s="1"/>
      <c r="H71" s="1"/>
      <c r="I71" s="1"/>
      <c r="J71" s="1"/>
      <c r="K71" s="1"/>
      <c r="L71" s="1"/>
      <c r="M71" s="1"/>
      <c r="N71" s="1"/>
      <c r="O71" s="1"/>
      <c r="P71" s="1"/>
      <c r="Q71" s="1"/>
      <c r="R71" s="1"/>
      <c r="S71" s="1"/>
      <c r="T71" s="1"/>
      <c r="U71" s="1"/>
      <c r="V71" s="1"/>
      <c r="W71" s="1"/>
      <c r="AR71">
        <v>0</v>
      </c>
    </row>
    <row r="72" spans="4:44" ht="27" hidden="1" customHeight="1" x14ac:dyDescent="0.15">
      <c r="E72" s="1" t="s">
        <v>268</v>
      </c>
      <c r="F72" s="1"/>
      <c r="G72" s="1"/>
      <c r="H72" s="1"/>
      <c r="I72" s="1"/>
      <c r="J72" s="1"/>
      <c r="K72" s="1"/>
      <c r="L72" s="1"/>
      <c r="M72" s="1"/>
      <c r="N72" s="1"/>
      <c r="O72" s="1"/>
      <c r="P72" s="1"/>
      <c r="Q72" s="1"/>
      <c r="R72" s="1"/>
      <c r="S72" s="1"/>
      <c r="T72" s="1"/>
      <c r="U72" s="1"/>
      <c r="V72" s="1"/>
      <c r="W72" s="1"/>
      <c r="AR72">
        <v>0</v>
      </c>
    </row>
    <row r="73" spans="4:44" ht="17.25" hidden="1" customHeight="1" x14ac:dyDescent="0.15">
      <c r="E73" s="1" t="s">
        <v>269</v>
      </c>
      <c r="F73" s="1"/>
      <c r="G73" s="1"/>
      <c r="H73" s="1"/>
      <c r="I73" s="1"/>
      <c r="J73" s="1"/>
      <c r="K73" s="1"/>
      <c r="L73" s="1"/>
      <c r="M73" s="1"/>
      <c r="N73" s="1"/>
      <c r="O73" s="1"/>
      <c r="P73" s="1"/>
      <c r="Q73" s="1"/>
      <c r="R73" s="1"/>
      <c r="S73" s="1"/>
      <c r="T73" s="1"/>
      <c r="U73" s="1"/>
      <c r="V73" s="1"/>
      <c r="W73" s="1"/>
      <c r="AR73">
        <v>0</v>
      </c>
    </row>
    <row r="74" spans="4:44" ht="15" hidden="1" customHeight="1" x14ac:dyDescent="0.15">
      <c r="AR74">
        <v>0</v>
      </c>
    </row>
    <row r="75" spans="4:44" ht="15" hidden="1" customHeight="1" x14ac:dyDescent="0.15">
      <c r="E75" s="1" t="s">
        <v>270</v>
      </c>
      <c r="F75" s="1"/>
      <c r="G75" s="1"/>
      <c r="H75" s="1"/>
      <c r="I75" s="1"/>
      <c r="J75" s="1"/>
      <c r="K75" s="1"/>
      <c r="L75" s="1"/>
      <c r="M75" s="1"/>
      <c r="N75" s="1"/>
      <c r="O75" s="1"/>
      <c r="P75" s="1"/>
      <c r="Q75" s="1"/>
      <c r="R75" s="1"/>
      <c r="S75" s="1"/>
      <c r="T75" s="1"/>
      <c r="U75" s="1"/>
      <c r="V75" s="1"/>
      <c r="W75" s="1"/>
      <c r="AR75">
        <v>0</v>
      </c>
    </row>
    <row r="76" spans="4:44" ht="17.25" hidden="1" customHeight="1" x14ac:dyDescent="0.15">
      <c r="E76" s="1" t="s">
        <v>271</v>
      </c>
      <c r="F76" s="1"/>
      <c r="G76" s="1"/>
      <c r="H76" s="1"/>
      <c r="I76" s="1"/>
      <c r="J76" s="1"/>
      <c r="K76" s="1"/>
      <c r="L76" s="1"/>
      <c r="M76" s="1"/>
      <c r="N76" s="1"/>
      <c r="O76" s="1"/>
      <c r="P76" s="1"/>
      <c r="Q76" s="1"/>
      <c r="R76" s="1"/>
      <c r="S76" s="1"/>
      <c r="T76" s="1"/>
      <c r="U76" s="1"/>
      <c r="V76" s="1"/>
      <c r="W76" s="1"/>
      <c r="AR76">
        <v>0</v>
      </c>
    </row>
    <row r="77" spans="4:44" ht="17.25" hidden="1" customHeight="1" x14ac:dyDescent="0.15">
      <c r="E77" s="1" t="s">
        <v>272</v>
      </c>
      <c r="F77" s="1"/>
      <c r="G77" s="1"/>
      <c r="H77" s="1"/>
      <c r="I77" s="1"/>
      <c r="J77" s="1"/>
      <c r="K77" s="1"/>
      <c r="L77" s="1"/>
      <c r="M77" s="1"/>
      <c r="N77" s="1"/>
      <c r="O77" s="1"/>
      <c r="P77" s="1"/>
      <c r="Q77" s="1"/>
      <c r="R77" s="1"/>
      <c r="S77" s="1"/>
      <c r="T77" s="1"/>
      <c r="U77" s="1"/>
      <c r="V77" s="1"/>
      <c r="W77" s="1"/>
      <c r="AR77">
        <v>0</v>
      </c>
    </row>
    <row r="78" spans="4:44" ht="11.25" hidden="1" customHeight="1" x14ac:dyDescent="0.15">
      <c r="AR78">
        <v>0</v>
      </c>
    </row>
    <row r="79" spans="4:44" ht="17.25" hidden="1" customHeight="1" x14ac:dyDescent="0.15">
      <c r="D79" s="1">
        <v>1</v>
      </c>
      <c r="E79" s="1" t="s">
        <v>273</v>
      </c>
      <c r="F79" s="1" t="s">
        <v>19</v>
      </c>
      <c r="G79" s="1"/>
      <c r="H79" s="1"/>
      <c r="I79" s="1"/>
      <c r="J79" s="1"/>
      <c r="K79" s="1"/>
      <c r="L79" s="1"/>
      <c r="M79" s="1"/>
      <c r="N79" s="1"/>
      <c r="O79" s="1"/>
      <c r="P79" s="1"/>
      <c r="Q79" s="1"/>
      <c r="R79" s="1"/>
      <c r="S79" s="1"/>
      <c r="AC79" t="s">
        <v>274</v>
      </c>
      <c r="AD79" t="s">
        <v>275</v>
      </c>
      <c r="AE79" t="s">
        <v>276</v>
      </c>
      <c r="AF79" t="s">
        <v>277</v>
      </c>
      <c r="AH79" t="str">
        <f>IF($E$79=0,"",$E$79)</f>
        <v>Тариф на питьевую воду (питьевое водоснабжение)</v>
      </c>
      <c r="AI79" t="str">
        <f>IF($G$79=0,"",$G$79)</f>
        <v/>
      </c>
      <c r="AJ79" t="str">
        <f>IF($J$79=0,"",$J$79)</f>
        <v/>
      </c>
      <c r="AK79" t="str">
        <f>IF($K$79="нет","без дифференциации",IF($N$79=0,"",$N$79))</f>
        <v/>
      </c>
      <c r="AL79" t="str">
        <f>IF($O$79="нет","без дифференциации",IF($R$79=0,"",$R$79))</f>
        <v/>
      </c>
      <c r="AM79" t="str">
        <f>IF($S$79="нет","без дифференциации",IF($V$79=0,"",$V$79))</f>
        <v/>
      </c>
      <c r="AN79">
        <f>$I$79</f>
        <v>0</v>
      </c>
      <c r="AO79" t="str">
        <f>$I$79&amp;"."&amp;$M$79</f>
        <v>.</v>
      </c>
      <c r="AP79" t="str">
        <f>$I$79&amp;"."&amp;$M$79&amp;"."&amp;$Q$79</f>
        <v>..</v>
      </c>
      <c r="AQ79" t="str">
        <f>$I$79&amp;"."&amp;$M$79&amp;"."&amp;$Q$79&amp;"."&amp;$U$79</f>
        <v>...</v>
      </c>
      <c r="AR79">
        <v>0</v>
      </c>
    </row>
    <row r="80" spans="4:44" ht="17.25" hidden="1" customHeight="1" x14ac:dyDescent="0.15">
      <c r="D80" s="1"/>
      <c r="E80" s="1"/>
      <c r="F80" s="1"/>
      <c r="G80" s="1"/>
      <c r="H80" s="1"/>
      <c r="I80" s="1"/>
      <c r="J80" s="1"/>
      <c r="K80" s="1"/>
      <c r="L80" s="1"/>
      <c r="M80" s="1"/>
      <c r="N80" s="1"/>
      <c r="O80" s="1"/>
      <c r="P80" s="1"/>
      <c r="Q80" s="1"/>
      <c r="R80" s="1"/>
      <c r="S80" s="1"/>
      <c r="AR80">
        <v>0</v>
      </c>
    </row>
    <row r="81" spans="4:44" ht="17.25" hidden="1" customHeight="1" x14ac:dyDescent="0.15">
      <c r="D81" s="1"/>
      <c r="E81" s="1"/>
      <c r="F81" s="1"/>
      <c r="G81" s="1"/>
      <c r="H81" s="1"/>
      <c r="I81" s="1"/>
      <c r="J81" s="1"/>
      <c r="K81" s="1"/>
      <c r="L81" s="1"/>
      <c r="M81" s="1"/>
      <c r="N81" s="1"/>
      <c r="O81" s="1"/>
      <c r="AR81">
        <v>0</v>
      </c>
    </row>
    <row r="82" spans="4:44" ht="17.25" hidden="1" customHeight="1" x14ac:dyDescent="0.15">
      <c r="D82" s="1"/>
      <c r="E82" s="1"/>
      <c r="F82" s="1"/>
      <c r="G82" s="1"/>
      <c r="H82" s="1"/>
      <c r="I82" s="1"/>
      <c r="J82" s="1"/>
      <c r="K82" s="1"/>
      <c r="AR82">
        <v>0</v>
      </c>
    </row>
    <row r="83" spans="4:44" ht="17.25" hidden="1" customHeight="1" x14ac:dyDescent="0.15">
      <c r="D83" s="1"/>
      <c r="E83" s="1"/>
      <c r="F83" s="1"/>
      <c r="G83" s="1"/>
      <c r="AR83">
        <v>0</v>
      </c>
    </row>
    <row r="84" spans="4:44" ht="17.25" hidden="1" customHeight="1" x14ac:dyDescent="0.15">
      <c r="D84" s="1">
        <v>2</v>
      </c>
      <c r="E84" s="1" t="s">
        <v>278</v>
      </c>
      <c r="F84" s="1" t="s">
        <v>19</v>
      </c>
      <c r="G84" s="1"/>
      <c r="H84" s="1"/>
      <c r="I84" s="1"/>
      <c r="J84" s="1"/>
      <c r="K84" s="1"/>
      <c r="L84" s="1"/>
      <c r="M84" s="1"/>
      <c r="N84" s="1"/>
      <c r="O84" s="1"/>
      <c r="P84" s="1"/>
      <c r="Q84" s="1"/>
      <c r="R84" s="1"/>
      <c r="S84" s="1"/>
      <c r="AC84" t="s">
        <v>279</v>
      </c>
      <c r="AD84" t="s">
        <v>280</v>
      </c>
      <c r="AE84" t="s">
        <v>281</v>
      </c>
      <c r="AF84" t="s">
        <v>282</v>
      </c>
      <c r="AH84" t="str">
        <f>IF($E$84=0,"",$E$84)</f>
        <v>Тариф на техническую воду</v>
      </c>
      <c r="AI84" t="str">
        <f>IF($G$84=0,"",$G$84)</f>
        <v/>
      </c>
      <c r="AJ84" t="str">
        <f>IF($J$84=0,"",$J$84)</f>
        <v/>
      </c>
      <c r="AK84" t="str">
        <f>IF($K$84="нет","без дифференциации",IF($N$84=0,"",$N$84))</f>
        <v/>
      </c>
      <c r="AL84" t="str">
        <f>IF($O$84="нет","без дифференциации",IF($R$84=0,"",$R$84))</f>
        <v/>
      </c>
      <c r="AM84" t="str">
        <f>IF($S$84="нет","без дифференциации",IF($V$84=0,"",$V$84))</f>
        <v/>
      </c>
      <c r="AN84">
        <f>$I$84</f>
        <v>0</v>
      </c>
      <c r="AO84" t="str">
        <f>$I$84&amp;"."&amp;$M$84</f>
        <v>.</v>
      </c>
      <c r="AP84" t="str">
        <f>$I$84&amp;"."&amp;$M$84&amp;"."&amp;$Q$84</f>
        <v>..</v>
      </c>
      <c r="AQ84" t="str">
        <f>$I$84&amp;"."&amp;$M$84&amp;"."&amp;$Q$84&amp;"."&amp;$U$84</f>
        <v>...</v>
      </c>
      <c r="AR84">
        <v>0</v>
      </c>
    </row>
    <row r="85" spans="4:44" ht="17.25" hidden="1" customHeight="1" x14ac:dyDescent="0.15">
      <c r="D85" s="1"/>
      <c r="E85" s="1"/>
      <c r="F85" s="1"/>
      <c r="G85" s="1"/>
      <c r="H85" s="1"/>
      <c r="I85" s="1"/>
      <c r="J85" s="1"/>
      <c r="K85" s="1"/>
      <c r="L85" s="1"/>
      <c r="M85" s="1"/>
      <c r="N85" s="1"/>
      <c r="O85" s="1"/>
      <c r="P85" s="1"/>
      <c r="Q85" s="1"/>
      <c r="R85" s="1"/>
      <c r="S85" s="1"/>
      <c r="AR85">
        <v>0</v>
      </c>
    </row>
    <row r="86" spans="4:44" ht="17.25" hidden="1" customHeight="1" x14ac:dyDescent="0.15">
      <c r="D86" s="1"/>
      <c r="E86" s="1"/>
      <c r="F86" s="1"/>
      <c r="G86" s="1"/>
      <c r="H86" s="1"/>
      <c r="I86" s="1"/>
      <c r="J86" s="1"/>
      <c r="K86" s="1"/>
      <c r="L86" s="1"/>
      <c r="M86" s="1"/>
      <c r="N86" s="1"/>
      <c r="O86" s="1"/>
      <c r="AR86">
        <v>0</v>
      </c>
    </row>
    <row r="87" spans="4:44" ht="17.25" hidden="1" customHeight="1" x14ac:dyDescent="0.15">
      <c r="D87" s="1"/>
      <c r="E87" s="1"/>
      <c r="F87" s="1"/>
      <c r="G87" s="1"/>
      <c r="H87" s="1"/>
      <c r="I87" s="1"/>
      <c r="J87" s="1"/>
      <c r="K87" s="1"/>
      <c r="AR87">
        <v>0</v>
      </c>
    </row>
    <row r="88" spans="4:44" ht="17.25" hidden="1" customHeight="1" x14ac:dyDescent="0.15">
      <c r="D88" s="1"/>
      <c r="E88" s="1"/>
      <c r="F88" s="1"/>
      <c r="G88" s="1"/>
      <c r="AR88">
        <v>0</v>
      </c>
    </row>
    <row r="89" spans="4:44" ht="17.25" hidden="1" customHeight="1" x14ac:dyDescent="0.15">
      <c r="D89" s="1">
        <v>3</v>
      </c>
      <c r="E89" s="1" t="s">
        <v>283</v>
      </c>
      <c r="F89" s="1" t="s">
        <v>19</v>
      </c>
      <c r="G89" s="1"/>
      <c r="H89" s="1"/>
      <c r="I89" s="1"/>
      <c r="J89" s="1"/>
      <c r="K89" s="1"/>
      <c r="L89" s="1"/>
      <c r="M89" s="1"/>
      <c r="N89" s="1"/>
      <c r="O89" s="1"/>
      <c r="P89" s="1"/>
      <c r="Q89" s="1"/>
      <c r="R89" s="1"/>
      <c r="S89" s="1"/>
      <c r="AC89" t="s">
        <v>284</v>
      </c>
      <c r="AD89" t="s">
        <v>285</v>
      </c>
      <c r="AE89" t="s">
        <v>286</v>
      </c>
      <c r="AF89" t="s">
        <v>287</v>
      </c>
      <c r="AH89" t="str">
        <f>IF($E$89=0,"",$E$89)</f>
        <v>Тариф на транспортировку воды</v>
      </c>
      <c r="AI89" t="str">
        <f>IF($G$89=0,"",$G$89)</f>
        <v/>
      </c>
      <c r="AJ89" t="str">
        <f>IF($J$89=0,"",$J$89)</f>
        <v/>
      </c>
      <c r="AK89" t="str">
        <f>IF($K$89="нет","без дифференциации",IF($N$89=0,"",$N$89))</f>
        <v/>
      </c>
      <c r="AL89" t="str">
        <f>IF($O$89="нет","без дифференциации",IF($R$89=0,"",$R$89))</f>
        <v/>
      </c>
      <c r="AM89" t="str">
        <f>IF($S$89="нет","без дифференциации",IF($V$89=0,"",$V$89))</f>
        <v/>
      </c>
      <c r="AN89">
        <f>$I$89</f>
        <v>0</v>
      </c>
      <c r="AO89" t="str">
        <f>$I$89&amp;"."&amp;$M$89</f>
        <v>.</v>
      </c>
      <c r="AP89" t="str">
        <f>$I$89&amp;"."&amp;$M$89&amp;"."&amp;$Q$89</f>
        <v>..</v>
      </c>
      <c r="AQ89" t="str">
        <f>$I$89&amp;"."&amp;$M$89&amp;"."&amp;$Q$89&amp;"."&amp;$U$89</f>
        <v>...</v>
      </c>
      <c r="AR89">
        <v>0</v>
      </c>
    </row>
    <row r="90" spans="4:44" ht="17.25" hidden="1" customHeight="1" x14ac:dyDescent="0.15">
      <c r="D90" s="1"/>
      <c r="E90" s="1"/>
      <c r="F90" s="1"/>
      <c r="G90" s="1"/>
      <c r="H90" s="1"/>
      <c r="I90" s="1"/>
      <c r="J90" s="1"/>
      <c r="K90" s="1"/>
      <c r="L90" s="1"/>
      <c r="M90" s="1"/>
      <c r="N90" s="1"/>
      <c r="O90" s="1"/>
      <c r="P90" s="1"/>
      <c r="Q90" s="1"/>
      <c r="R90" s="1"/>
      <c r="S90" s="1"/>
      <c r="AR90">
        <v>0</v>
      </c>
    </row>
    <row r="91" spans="4:44" ht="17.25" hidden="1" customHeight="1" x14ac:dyDescent="0.15">
      <c r="D91" s="1"/>
      <c r="E91" s="1"/>
      <c r="F91" s="1"/>
      <c r="G91" s="1"/>
      <c r="H91" s="1"/>
      <c r="I91" s="1"/>
      <c r="J91" s="1"/>
      <c r="K91" s="1"/>
      <c r="L91" s="1"/>
      <c r="M91" s="1"/>
      <c r="N91" s="1"/>
      <c r="O91" s="1"/>
      <c r="AR91">
        <v>0</v>
      </c>
    </row>
    <row r="92" spans="4:44" ht="17.25" hidden="1" customHeight="1" x14ac:dyDescent="0.15">
      <c r="D92" s="1"/>
      <c r="E92" s="1"/>
      <c r="F92" s="1"/>
      <c r="G92" s="1"/>
      <c r="H92" s="1"/>
      <c r="I92" s="1"/>
      <c r="J92" s="1"/>
      <c r="K92" s="1"/>
      <c r="AR92">
        <v>0</v>
      </c>
    </row>
    <row r="93" spans="4:44" ht="17.25" hidden="1" customHeight="1" x14ac:dyDescent="0.15">
      <c r="D93" s="1"/>
      <c r="E93" s="1"/>
      <c r="F93" s="1"/>
      <c r="G93" s="1"/>
      <c r="AR93">
        <v>0</v>
      </c>
    </row>
    <row r="94" spans="4:44" ht="17.25" hidden="1" customHeight="1" x14ac:dyDescent="0.15">
      <c r="D94" s="1">
        <v>4</v>
      </c>
      <c r="E94" s="1" t="s">
        <v>288</v>
      </c>
      <c r="F94" s="1" t="s">
        <v>19</v>
      </c>
      <c r="G94" s="1"/>
      <c r="H94" s="1"/>
      <c r="I94" s="1"/>
      <c r="J94" s="1"/>
      <c r="K94" s="1"/>
      <c r="L94" s="1"/>
      <c r="M94" s="1"/>
      <c r="N94" s="1"/>
      <c r="O94" s="1"/>
      <c r="P94" s="1"/>
      <c r="Q94" s="1"/>
      <c r="R94" s="1"/>
      <c r="S94" s="1"/>
      <c r="AC94" t="s">
        <v>289</v>
      </c>
      <c r="AD94" t="s">
        <v>290</v>
      </c>
      <c r="AE94" t="s">
        <v>291</v>
      </c>
      <c r="AF94" t="s">
        <v>292</v>
      </c>
      <c r="AH94" t="str">
        <f>IF($E$94=0,"",$E$94)</f>
        <v>Тариф на подвоз воды</v>
      </c>
      <c r="AI94" t="str">
        <f>IF($G$94=0,"",$G$94)</f>
        <v/>
      </c>
      <c r="AJ94" t="str">
        <f>IF($J$94=0,"",$J$94)</f>
        <v/>
      </c>
      <c r="AK94" t="str">
        <f>IF($K$94="нет","без дифференциации",IF($N$94=0,"",$N$94))</f>
        <v/>
      </c>
      <c r="AL94" t="str">
        <f>IF($O$94="нет","без дифференциации",IF($R$94=0,"",$R$94))</f>
        <v/>
      </c>
      <c r="AM94" t="str">
        <f>IF($S$94="нет","без дифференциации",IF($V$94=0,"",$V$94))</f>
        <v/>
      </c>
      <c r="AN94">
        <f>$I$94</f>
        <v>0</v>
      </c>
      <c r="AO94" t="str">
        <f>$I$94&amp;"."&amp;$M$94</f>
        <v>.</v>
      </c>
      <c r="AP94" t="str">
        <f>$I$94&amp;"."&amp;$M$94&amp;"."&amp;$Q$94</f>
        <v>..</v>
      </c>
      <c r="AQ94" t="str">
        <f>$I$94&amp;"."&amp;$M$94&amp;"."&amp;$Q$94&amp;"."&amp;$U$94</f>
        <v>...</v>
      </c>
      <c r="AR94">
        <v>0</v>
      </c>
    </row>
    <row r="95" spans="4:44" ht="17.25" hidden="1" customHeight="1" x14ac:dyDescent="0.15">
      <c r="D95" s="1"/>
      <c r="E95" s="1"/>
      <c r="F95" s="1"/>
      <c r="G95" s="1"/>
      <c r="H95" s="1"/>
      <c r="I95" s="1"/>
      <c r="J95" s="1"/>
      <c r="K95" s="1"/>
      <c r="L95" s="1"/>
      <c r="M95" s="1"/>
      <c r="N95" s="1"/>
      <c r="O95" s="1"/>
      <c r="P95" s="1"/>
      <c r="Q95" s="1"/>
      <c r="R95" s="1"/>
      <c r="S95" s="1"/>
      <c r="AR95">
        <v>0</v>
      </c>
    </row>
    <row r="96" spans="4:44" ht="17.25" hidden="1" customHeight="1" x14ac:dyDescent="0.15">
      <c r="D96" s="1"/>
      <c r="E96" s="1"/>
      <c r="F96" s="1"/>
      <c r="G96" s="1"/>
      <c r="H96" s="1"/>
      <c r="I96" s="1"/>
      <c r="J96" s="1"/>
      <c r="K96" s="1"/>
      <c r="L96" s="1"/>
      <c r="M96" s="1"/>
      <c r="N96" s="1"/>
      <c r="O96" s="1"/>
      <c r="AR96">
        <v>0</v>
      </c>
    </row>
    <row r="97" spans="4:44" ht="17.25" hidden="1" customHeight="1" x14ac:dyDescent="0.15">
      <c r="D97" s="1"/>
      <c r="E97" s="1"/>
      <c r="F97" s="1"/>
      <c r="G97" s="1"/>
      <c r="H97" s="1"/>
      <c r="I97" s="1"/>
      <c r="J97" s="1"/>
      <c r="K97" s="1"/>
      <c r="AR97">
        <v>0</v>
      </c>
    </row>
    <row r="98" spans="4:44" ht="17.25" hidden="1" customHeight="1" x14ac:dyDescent="0.15">
      <c r="D98" s="1"/>
      <c r="E98" s="1"/>
      <c r="F98" s="1"/>
      <c r="G98" s="1"/>
      <c r="AR98">
        <v>0</v>
      </c>
    </row>
    <row r="99" spans="4:44" ht="17.25" hidden="1" customHeight="1" x14ac:dyDescent="0.15">
      <c r="D99" s="1">
        <v>5</v>
      </c>
      <c r="E99" s="1" t="s">
        <v>293</v>
      </c>
      <c r="F99" s="1" t="s">
        <v>19</v>
      </c>
      <c r="G99" s="1"/>
      <c r="H99" s="1"/>
      <c r="I99" s="1"/>
      <c r="J99" s="1"/>
      <c r="K99" s="1"/>
      <c r="L99" s="1"/>
      <c r="M99" s="1"/>
      <c r="N99" s="1"/>
      <c r="O99" s="1"/>
      <c r="P99" s="1"/>
      <c r="Q99" s="1"/>
      <c r="R99" s="1"/>
      <c r="S99" s="1"/>
      <c r="AC99" t="s">
        <v>294</v>
      </c>
      <c r="AD99" t="s">
        <v>295</v>
      </c>
      <c r="AE99" t="s">
        <v>296</v>
      </c>
      <c r="AF99" t="s">
        <v>297</v>
      </c>
      <c r="AH99" t="str">
        <f>IF($E$99=0,"",$E$99)</f>
        <v>Тариф на подключение (технологическое присоединение) к централизованной системе холодного водоснабжения</v>
      </c>
      <c r="AI99" t="str">
        <f>IF($G$99=0,"",$G$99)</f>
        <v/>
      </c>
      <c r="AJ99" t="str">
        <f>IF($J$99=0,"",$J$99)</f>
        <v/>
      </c>
      <c r="AK99" t="str">
        <f>IF($K$99="нет","без дифференциации",IF($N$99=0,"",$N$99))</f>
        <v/>
      </c>
      <c r="AL99" t="str">
        <f>IF($O$99="нет","без дифференциации",IF($R$99=0,"",$R$99))</f>
        <v/>
      </c>
      <c r="AM99" t="str">
        <f>IF($S$99="нет","без дифференциации",IF($V$99=0,"",$V$99))</f>
        <v/>
      </c>
      <c r="AN99">
        <f>$I$99</f>
        <v>0</v>
      </c>
      <c r="AO99" t="str">
        <f>$I$99&amp;"."&amp;$M$99</f>
        <v>.</v>
      </c>
      <c r="AP99" t="str">
        <f>$I$99&amp;"."&amp;$M$99&amp;"."&amp;$Q$99</f>
        <v>..</v>
      </c>
      <c r="AQ99" t="str">
        <f>$I$99&amp;"."&amp;$M$99&amp;"."&amp;$Q$99&amp;"."&amp;$U$99</f>
        <v>...</v>
      </c>
      <c r="AR99">
        <v>0</v>
      </c>
    </row>
    <row r="100" spans="4:44" ht="17.25" hidden="1" customHeight="1" x14ac:dyDescent="0.15">
      <c r="D100" s="1"/>
      <c r="E100" s="1"/>
      <c r="F100" s="1"/>
      <c r="G100" s="1"/>
      <c r="H100" s="1"/>
      <c r="I100" s="1"/>
      <c r="J100" s="1"/>
      <c r="K100" s="1"/>
      <c r="L100" s="1"/>
      <c r="M100" s="1"/>
      <c r="N100" s="1"/>
      <c r="O100" s="1"/>
      <c r="P100" s="1"/>
      <c r="Q100" s="1"/>
      <c r="R100" s="1"/>
      <c r="S100" s="1"/>
      <c r="AR100">
        <v>0</v>
      </c>
    </row>
    <row r="101" spans="4:44" ht="17.25" hidden="1" customHeight="1" x14ac:dyDescent="0.15">
      <c r="D101" s="1"/>
      <c r="E101" s="1"/>
      <c r="F101" s="1"/>
      <c r="G101" s="1"/>
      <c r="H101" s="1"/>
      <c r="I101" s="1"/>
      <c r="J101" s="1"/>
      <c r="K101" s="1"/>
      <c r="L101" s="1"/>
      <c r="M101" s="1"/>
      <c r="N101" s="1"/>
      <c r="O101" s="1"/>
      <c r="AR101">
        <v>0</v>
      </c>
    </row>
    <row r="102" spans="4:44" ht="17.25" hidden="1" customHeight="1" x14ac:dyDescent="0.15">
      <c r="D102" s="1"/>
      <c r="E102" s="1"/>
      <c r="F102" s="1"/>
      <c r="G102" s="1"/>
      <c r="H102" s="1"/>
      <c r="I102" s="1"/>
      <c r="J102" s="1"/>
      <c r="K102" s="1"/>
      <c r="AR102">
        <v>0</v>
      </c>
    </row>
    <row r="103" spans="4:44" ht="17.25" hidden="1" customHeight="1" x14ac:dyDescent="0.15">
      <c r="D103" s="1"/>
      <c r="E103" s="1"/>
      <c r="F103" s="1"/>
      <c r="G103" s="1"/>
      <c r="AR103">
        <v>0</v>
      </c>
    </row>
    <row r="104" spans="4:44" ht="11.25" hidden="1" customHeight="1" x14ac:dyDescent="0.15">
      <c r="AR104">
        <v>0</v>
      </c>
    </row>
    <row r="105" spans="4:44" ht="17.25" hidden="1" customHeight="1" x14ac:dyDescent="0.15">
      <c r="D105" s="1">
        <v>1</v>
      </c>
      <c r="E105" s="1" t="s">
        <v>298</v>
      </c>
      <c r="F105" s="1" t="s">
        <v>19</v>
      </c>
      <c r="G105" s="1"/>
      <c r="H105" s="1"/>
      <c r="I105" s="1"/>
      <c r="J105" s="1"/>
      <c r="K105" s="1"/>
      <c r="L105" s="1"/>
      <c r="M105" s="1"/>
      <c r="N105" s="1"/>
      <c r="O105" s="1"/>
      <c r="P105" s="1"/>
      <c r="Q105" s="1"/>
      <c r="R105" s="1"/>
      <c r="S105" s="1"/>
      <c r="AC105" t="s">
        <v>299</v>
      </c>
      <c r="AD105" t="s">
        <v>300</v>
      </c>
      <c r="AE105" t="s">
        <v>301</v>
      </c>
      <c r="AF105" t="s">
        <v>302</v>
      </c>
      <c r="AH105" t="str">
        <f>IF($E$105=0,"",$E$105)</f>
        <v>Тариф на горячую воду (горячее водоснабжение)</v>
      </c>
      <c r="AI105" t="str">
        <f>IF($G$105=0,"",$G$105)</f>
        <v/>
      </c>
      <c r="AJ105" t="str">
        <f>IF($J$105=0,"",$J$105)</f>
        <v/>
      </c>
      <c r="AK105" t="str">
        <f>IF($K$105="нет","без дифференциации",IF($N$105=0,"",$N$105))</f>
        <v/>
      </c>
      <c r="AL105" t="str">
        <f>IF($O$105="нет","без дифференциации",IF($R$105=0,"",$R$105))</f>
        <v/>
      </c>
      <c r="AM105" t="str">
        <f>IF($S$105="нет","без дифференциации",IF($V$105=0,"",$V$105))</f>
        <v/>
      </c>
      <c r="AN105">
        <f>$I$105</f>
        <v>0</v>
      </c>
      <c r="AO105" t="str">
        <f>$I$105&amp;"."&amp;$M$105</f>
        <v>.</v>
      </c>
      <c r="AP105" t="str">
        <f>$I$105&amp;"."&amp;$M$105&amp;"."&amp;$Q$105</f>
        <v>..</v>
      </c>
      <c r="AQ105" t="str">
        <f>$I$105&amp;"."&amp;$M$105&amp;"."&amp;$Q$105&amp;"."&amp;$U$105</f>
        <v>...</v>
      </c>
      <c r="AR105">
        <v>0</v>
      </c>
    </row>
    <row r="106" spans="4:44" ht="17.25" hidden="1" customHeight="1" x14ac:dyDescent="0.15">
      <c r="D106" s="1"/>
      <c r="E106" s="1"/>
      <c r="F106" s="1"/>
      <c r="G106" s="1"/>
      <c r="H106" s="1"/>
      <c r="I106" s="1"/>
      <c r="J106" s="1"/>
      <c r="K106" s="1"/>
      <c r="L106" s="1"/>
      <c r="M106" s="1"/>
      <c r="N106" s="1"/>
      <c r="O106" s="1"/>
      <c r="P106" s="1"/>
      <c r="Q106" s="1"/>
      <c r="R106" s="1"/>
      <c r="S106" s="1"/>
      <c r="AR106">
        <v>0</v>
      </c>
    </row>
    <row r="107" spans="4:44" ht="17.25" hidden="1" customHeight="1" x14ac:dyDescent="0.15">
      <c r="D107" s="1"/>
      <c r="E107" s="1"/>
      <c r="F107" s="1"/>
      <c r="G107" s="1"/>
      <c r="H107" s="1"/>
      <c r="I107" s="1"/>
      <c r="J107" s="1"/>
      <c r="K107" s="1"/>
      <c r="L107" s="1"/>
      <c r="M107" s="1"/>
      <c r="N107" s="1"/>
      <c r="O107" s="1"/>
      <c r="AR107">
        <v>0</v>
      </c>
    </row>
    <row r="108" spans="4:44" ht="17.25" hidden="1" customHeight="1" x14ac:dyDescent="0.15">
      <c r="D108" s="1"/>
      <c r="E108" s="1"/>
      <c r="F108" s="1"/>
      <c r="G108" s="1"/>
      <c r="H108" s="1"/>
      <c r="I108" s="1"/>
      <c r="J108" s="1"/>
      <c r="K108" s="1"/>
      <c r="AR108">
        <v>0</v>
      </c>
    </row>
    <row r="109" spans="4:44" ht="17.25" hidden="1" customHeight="1" x14ac:dyDescent="0.15">
      <c r="D109" s="1"/>
      <c r="E109" s="1"/>
      <c r="F109" s="1"/>
      <c r="G109" s="1"/>
      <c r="AR109">
        <v>0</v>
      </c>
    </row>
    <row r="110" spans="4:44" ht="17.25" hidden="1" customHeight="1" x14ac:dyDescent="0.15">
      <c r="D110" s="1">
        <v>2</v>
      </c>
      <c r="E110" s="1" t="s">
        <v>303</v>
      </c>
      <c r="F110" s="1" t="s">
        <v>19</v>
      </c>
      <c r="G110" s="1"/>
      <c r="H110" s="1"/>
      <c r="I110" s="1"/>
      <c r="J110" s="1"/>
      <c r="K110" s="1"/>
      <c r="L110" s="1"/>
      <c r="M110" s="1"/>
      <c r="N110" s="1"/>
      <c r="O110" s="1"/>
      <c r="P110" s="1"/>
      <c r="Q110" s="1"/>
      <c r="R110" s="1"/>
      <c r="S110" s="1"/>
      <c r="AC110" t="s">
        <v>304</v>
      </c>
      <c r="AD110" t="s">
        <v>305</v>
      </c>
      <c r="AE110" t="s">
        <v>306</v>
      </c>
      <c r="AF110" t="s">
        <v>307</v>
      </c>
      <c r="AH110" t="str">
        <f>IF($E$110=0,"",$E$110)</f>
        <v>Тариф на транспортировку горячей воды</v>
      </c>
      <c r="AI110" t="str">
        <f>IF($G$110=0,"",$G$110)</f>
        <v/>
      </c>
      <c r="AJ110" t="str">
        <f>IF($J$110=0,"",$J$110)</f>
        <v/>
      </c>
      <c r="AK110" t="str">
        <f>IF($K$110="нет","без дифференциации",IF($N$110=0,"",$N$110))</f>
        <v/>
      </c>
      <c r="AL110" t="str">
        <f>IF($O$110="нет","без дифференциации",IF($R$110=0,"",$R$110))</f>
        <v/>
      </c>
      <c r="AM110" t="str">
        <f>IF($S$110="нет","без дифференциации",IF($V$110=0,"",$V$110))</f>
        <v/>
      </c>
      <c r="AN110">
        <f>$I$110</f>
        <v>0</v>
      </c>
      <c r="AO110" t="str">
        <f>$I$110&amp;"."&amp;$M$110</f>
        <v>.</v>
      </c>
      <c r="AP110" t="str">
        <f>$I$110&amp;"."&amp;$M$110&amp;"."&amp;$Q$110</f>
        <v>..</v>
      </c>
      <c r="AQ110" t="str">
        <f>$I$110&amp;"."&amp;$M$110&amp;"."&amp;$Q$110&amp;"."&amp;$U$110</f>
        <v>...</v>
      </c>
      <c r="AR110">
        <v>0</v>
      </c>
    </row>
    <row r="111" spans="4:44" ht="17.25" hidden="1" customHeight="1" x14ac:dyDescent="0.15">
      <c r="D111" s="1"/>
      <c r="E111" s="1"/>
      <c r="F111" s="1"/>
      <c r="G111" s="1"/>
      <c r="H111" s="1"/>
      <c r="I111" s="1"/>
      <c r="J111" s="1"/>
      <c r="K111" s="1"/>
      <c r="L111" s="1"/>
      <c r="M111" s="1"/>
      <c r="N111" s="1"/>
      <c r="O111" s="1"/>
      <c r="P111" s="1"/>
      <c r="Q111" s="1"/>
      <c r="R111" s="1"/>
      <c r="S111" s="1"/>
      <c r="AR111">
        <v>0</v>
      </c>
    </row>
    <row r="112" spans="4:44" ht="17.25" hidden="1" customHeight="1" x14ac:dyDescent="0.15">
      <c r="D112" s="1"/>
      <c r="E112" s="1"/>
      <c r="F112" s="1"/>
      <c r="G112" s="1"/>
      <c r="H112" s="1"/>
      <c r="I112" s="1"/>
      <c r="J112" s="1"/>
      <c r="K112" s="1"/>
      <c r="L112" s="1"/>
      <c r="M112" s="1"/>
      <c r="N112" s="1"/>
      <c r="O112" s="1"/>
      <c r="AR112">
        <v>0</v>
      </c>
    </row>
    <row r="113" spans="4:44" ht="17.25" hidden="1" customHeight="1" x14ac:dyDescent="0.15">
      <c r="D113" s="1"/>
      <c r="E113" s="1"/>
      <c r="F113" s="1"/>
      <c r="G113" s="1"/>
      <c r="H113" s="1"/>
      <c r="I113" s="1"/>
      <c r="J113" s="1"/>
      <c r="K113" s="1"/>
      <c r="AR113">
        <v>0</v>
      </c>
    </row>
    <row r="114" spans="4:44" ht="17.25" hidden="1" customHeight="1" x14ac:dyDescent="0.15">
      <c r="D114" s="1"/>
      <c r="E114" s="1"/>
      <c r="F114" s="1"/>
      <c r="G114" s="1"/>
      <c r="AR114">
        <v>0</v>
      </c>
    </row>
    <row r="115" spans="4:44" ht="17.25" hidden="1" customHeight="1" x14ac:dyDescent="0.15">
      <c r="D115" s="1">
        <v>3</v>
      </c>
      <c r="E115" s="1" t="s">
        <v>308</v>
      </c>
      <c r="F115" s="1" t="s">
        <v>19</v>
      </c>
      <c r="G115" s="1"/>
      <c r="H115" s="1"/>
      <c r="I115" s="1"/>
      <c r="J115" s="1"/>
      <c r="K115" s="1"/>
      <c r="L115" s="1"/>
      <c r="M115" s="1"/>
      <c r="N115" s="1"/>
      <c r="O115" s="1"/>
      <c r="P115" s="1"/>
      <c r="Q115" s="1"/>
      <c r="R115" s="1"/>
      <c r="S115" s="1"/>
      <c r="AC115" t="s">
        <v>309</v>
      </c>
      <c r="AD115" t="s">
        <v>310</v>
      </c>
      <c r="AE115" t="s">
        <v>311</v>
      </c>
      <c r="AF115" t="s">
        <v>312</v>
      </c>
      <c r="AH115" t="str">
        <f>IF($E$115=0,"",$E$115)</f>
        <v>Тариф на подключение (технологическое присоединение) к централизованной системе горячего водоснабжения</v>
      </c>
      <c r="AI115" t="str">
        <f>IF($G$115=0,"",$G$115)</f>
        <v/>
      </c>
      <c r="AJ115" t="str">
        <f>IF($J$115=0,"",$J$115)</f>
        <v/>
      </c>
      <c r="AK115" t="str">
        <f>IF($K$115="нет","без дифференциации",IF($N$115=0,"",$N$115))</f>
        <v/>
      </c>
      <c r="AL115" t="str">
        <f>IF($O$115="нет","без дифференциации",IF($R$115=0,"",$R$115))</f>
        <v/>
      </c>
      <c r="AM115" t="str">
        <f>IF($S$115="нет","без дифференциации",IF($V$115=0,"",$V$115))</f>
        <v/>
      </c>
      <c r="AN115">
        <f>$I$115</f>
        <v>0</v>
      </c>
      <c r="AO115" t="str">
        <f>$I$115&amp;"."&amp;$M$115</f>
        <v>.</v>
      </c>
      <c r="AP115" t="str">
        <f>$I$115&amp;"."&amp;$M$115&amp;"."&amp;$Q$115</f>
        <v>..</v>
      </c>
      <c r="AQ115" t="str">
        <f>$I$115&amp;"."&amp;$M$115&amp;"."&amp;$Q$115&amp;"."&amp;$U$115</f>
        <v>...</v>
      </c>
      <c r="AR115">
        <v>0</v>
      </c>
    </row>
    <row r="116" spans="4:44" ht="17.25" hidden="1" customHeight="1" x14ac:dyDescent="0.15">
      <c r="D116" s="1"/>
      <c r="E116" s="1"/>
      <c r="F116" s="1"/>
      <c r="G116" s="1"/>
      <c r="H116" s="1"/>
      <c r="I116" s="1"/>
      <c r="J116" s="1"/>
      <c r="K116" s="1"/>
      <c r="L116" s="1"/>
      <c r="M116" s="1"/>
      <c r="N116" s="1"/>
      <c r="O116" s="1"/>
      <c r="P116" s="1"/>
      <c r="Q116" s="1"/>
      <c r="R116" s="1"/>
      <c r="S116" s="1"/>
      <c r="AR116">
        <v>0</v>
      </c>
    </row>
    <row r="117" spans="4:44" ht="17.25" hidden="1" customHeight="1" x14ac:dyDescent="0.15">
      <c r="D117" s="1"/>
      <c r="E117" s="1"/>
      <c r="F117" s="1"/>
      <c r="G117" s="1"/>
      <c r="H117" s="1"/>
      <c r="I117" s="1"/>
      <c r="J117" s="1"/>
      <c r="K117" s="1"/>
      <c r="L117" s="1"/>
      <c r="M117" s="1"/>
      <c r="N117" s="1"/>
      <c r="O117" s="1"/>
      <c r="AR117">
        <v>0</v>
      </c>
    </row>
    <row r="118" spans="4:44" ht="17.25" hidden="1" customHeight="1" x14ac:dyDescent="0.15">
      <c r="D118" s="1"/>
      <c r="E118" s="1"/>
      <c r="F118" s="1"/>
      <c r="G118" s="1"/>
      <c r="H118" s="1"/>
      <c r="I118" s="1"/>
      <c r="J118" s="1"/>
      <c r="K118" s="1"/>
      <c r="AR118">
        <v>0</v>
      </c>
    </row>
    <row r="119" spans="4:44" ht="17.25" hidden="1" customHeight="1" x14ac:dyDescent="0.15">
      <c r="D119" s="1"/>
      <c r="E119" s="1"/>
      <c r="F119" s="1"/>
      <c r="G119" s="1"/>
      <c r="AR119">
        <v>0</v>
      </c>
    </row>
    <row r="120" spans="4:44" ht="11.25" hidden="1" customHeight="1" x14ac:dyDescent="0.15">
      <c r="AR120">
        <v>0</v>
      </c>
    </row>
    <row r="121" spans="4:44" ht="17.25" customHeight="1" x14ac:dyDescent="0.15">
      <c r="D121" s="1">
        <v>1</v>
      </c>
      <c r="E121" s="1" t="s">
        <v>313</v>
      </c>
      <c r="F121" s="1" t="s">
        <v>63</v>
      </c>
      <c r="G121" s="1" t="str">
        <f>INDEX(VD_NAME_LIST,MATCH("4189714",VD_ID_LIST,0))</f>
        <v>Водоотведение</v>
      </c>
      <c r="H121" s="1"/>
      <c r="I121" s="1">
        <v>1</v>
      </c>
      <c r="J121" s="1" t="s">
        <v>314</v>
      </c>
      <c r="K121" s="1" t="s">
        <v>63</v>
      </c>
      <c r="L121" s="1"/>
      <c r="M121" s="1" t="s">
        <v>101</v>
      </c>
      <c r="N121" s="1" t="str">
        <f>IF(Z121="","",INDEX(TERRITORY_MR_LIST,MATCH(Z121,TERRITORY_LIST_ID,0)))</f>
        <v>Территория 1</v>
      </c>
      <c r="O121" s="1" t="s">
        <v>63</v>
      </c>
      <c r="P121" s="1"/>
      <c r="Q121" s="1" t="s">
        <v>101</v>
      </c>
      <c r="R121" s="1" t="s">
        <v>315</v>
      </c>
      <c r="S121" s="1" t="s">
        <v>19</v>
      </c>
      <c r="U121" t="s">
        <v>101</v>
      </c>
      <c r="W121" s="1"/>
      <c r="Z121" t="s">
        <v>100</v>
      </c>
      <c r="AB121" t="s">
        <v>316</v>
      </c>
      <c r="AC121" t="s">
        <v>317</v>
      </c>
      <c r="AD121" t="s">
        <v>318</v>
      </c>
      <c r="AE121" t="s">
        <v>319</v>
      </c>
      <c r="AF121" t="s">
        <v>320</v>
      </c>
      <c r="AH121" t="str">
        <f>IF($E$121=0,"",$E$121)</f>
        <v>Тариф на водоотведение</v>
      </c>
      <c r="AI121" t="str">
        <f>IF($G$121=0,"",$G$121)</f>
        <v>Водоотведение</v>
      </c>
      <c r="AJ121" t="str">
        <f>IF($J$121=0,"",$J$121)</f>
        <v>Тариф на водоотведение для потребителей КГУП "Примтеплоэнерго"</v>
      </c>
      <c r="AK121" t="str">
        <f>IF($K$121="нет","без дифференциации",IF($N$121=0,"",$N$121))</f>
        <v>Территория 1</v>
      </c>
      <c r="AL121" t="str">
        <f>IF($O$121="нет","без дифференциации",IF($R$121=0,"",$R$121))</f>
        <v>с. Анучино</v>
      </c>
      <c r="AM121" t="str">
        <f>IF($S$121="нет","без дифференциации",IF($V$121=0,"",$V$121))</f>
        <v>без дифференциации</v>
      </c>
      <c r="AN121">
        <f>$I$121</f>
        <v>1</v>
      </c>
      <c r="AO121" t="str">
        <f>$I$121&amp;"."&amp;$M$121</f>
        <v>1.1</v>
      </c>
      <c r="AP121" t="str">
        <f>$I$121&amp;"."&amp;$M$121&amp;"."&amp;$Q$121</f>
        <v>1.1.1</v>
      </c>
      <c r="AQ121" t="str">
        <f>$I$121&amp;"."&amp;$M$121&amp;"."&amp;$Q$121&amp;"."&amp;$U$121</f>
        <v>1.1.1.1</v>
      </c>
      <c r="AR121">
        <v>0</v>
      </c>
    </row>
    <row r="122" spans="4:44" ht="17.25" customHeight="1" x14ac:dyDescent="0.15">
      <c r="D122" s="1"/>
      <c r="E122" s="1"/>
      <c r="F122" s="1"/>
      <c r="G122" s="1"/>
      <c r="H122" s="1"/>
      <c r="I122" s="1"/>
      <c r="J122" s="1"/>
      <c r="K122" s="1"/>
      <c r="L122" s="1"/>
      <c r="M122" s="1"/>
      <c r="N122" s="1"/>
      <c r="O122" s="1"/>
      <c r="P122" s="1"/>
      <c r="Q122" s="1"/>
      <c r="R122" s="1"/>
      <c r="S122" s="1"/>
      <c r="W122" s="1"/>
      <c r="AR122">
        <v>0</v>
      </c>
    </row>
    <row r="123" spans="4:44" ht="17.25" customHeight="1" x14ac:dyDescent="0.15">
      <c r="D123" s="1"/>
      <c r="E123" s="1"/>
      <c r="F123" s="1"/>
      <c r="G123" s="1"/>
      <c r="H123" s="1"/>
      <c r="I123" s="1"/>
      <c r="J123" s="1"/>
      <c r="K123" s="1"/>
      <c r="L123" s="1"/>
      <c r="M123" s="1"/>
      <c r="N123" s="1"/>
      <c r="O123" s="1"/>
      <c r="R123" t="s">
        <v>321</v>
      </c>
      <c r="AR123">
        <v>0</v>
      </c>
    </row>
    <row r="124" spans="4:44" ht="17.25" customHeight="1" x14ac:dyDescent="0.15">
      <c r="D124" s="1"/>
      <c r="E124" s="1"/>
      <c r="F124" s="1"/>
      <c r="G124" s="1"/>
      <c r="H124" s="1"/>
      <c r="I124" s="1"/>
      <c r="J124" s="1"/>
      <c r="K124" s="1"/>
      <c r="L124" s="1" t="s">
        <v>106</v>
      </c>
      <c r="M124" s="1" t="s">
        <v>105</v>
      </c>
      <c r="N124" s="1" t="str">
        <f>IF(Z124="","",INDEX(TERRITORY_MR_LIST,MATCH(Z124,TERRITORY_LIST_ID,0)))</f>
        <v>Территория 2</v>
      </c>
      <c r="O124" s="1" t="s">
        <v>63</v>
      </c>
      <c r="P124" s="1"/>
      <c r="Q124" s="1" t="s">
        <v>101</v>
      </c>
      <c r="R124" s="1" t="s">
        <v>322</v>
      </c>
      <c r="S124" s="1" t="s">
        <v>19</v>
      </c>
      <c r="U124" t="s">
        <v>101</v>
      </c>
      <c r="W124" s="1"/>
      <c r="Z124" t="s">
        <v>107</v>
      </c>
      <c r="AC124" t="s">
        <v>317</v>
      </c>
      <c r="AD124" t="s">
        <v>318</v>
      </c>
      <c r="AE124" t="s">
        <v>323</v>
      </c>
      <c r="AF124" t="s">
        <v>324</v>
      </c>
      <c r="AG124" t="s">
        <v>325</v>
      </c>
      <c r="AH124" t="str">
        <f>IF($E$121=0,"",$E$121)</f>
        <v>Тариф на водоотведение</v>
      </c>
      <c r="AI124" t="str">
        <f>IF($G$121=0,"",$G$121)</f>
        <v>Водоотведение</v>
      </c>
      <c r="AJ124" t="str">
        <f>IF($J$121=0,"",$J$121)</f>
        <v>Тариф на водоотведение для потребителей КГУП "Примтеплоэнерго"</v>
      </c>
      <c r="AK124" t="str">
        <f>IF($K$124="нет","без дифференциации",IF($N$124=0,"",$N$124))</f>
        <v>Территория 2</v>
      </c>
      <c r="AL124" t="str">
        <f>IF($O$124="нет","без дифференциации",IF($R$124=0,"",$R$124))</f>
        <v>пгт. Новошахтинский</v>
      </c>
      <c r="AN124">
        <f>$I$121</f>
        <v>1</v>
      </c>
      <c r="AO124" t="str">
        <f>$I$121&amp;"."&amp;$M$124</f>
        <v>1.2</v>
      </c>
      <c r="AP124" t="str">
        <f>$I$121&amp;"."&amp;$M$124&amp;"."&amp;$Q$124</f>
        <v>1.2.1</v>
      </c>
    </row>
    <row r="125" spans="4:44" ht="17.25" customHeight="1" x14ac:dyDescent="0.15">
      <c r="D125" s="1"/>
      <c r="E125" s="1"/>
      <c r="F125" s="1"/>
      <c r="G125" s="1"/>
      <c r="H125" s="1"/>
      <c r="I125" s="1"/>
      <c r="J125" s="1"/>
      <c r="K125" s="1"/>
      <c r="L125" s="1"/>
      <c r="M125" s="1"/>
      <c r="N125" s="1"/>
      <c r="O125" s="1"/>
      <c r="P125" s="1"/>
      <c r="Q125" s="1"/>
      <c r="R125" s="1"/>
      <c r="S125" s="1"/>
      <c r="W125" s="1"/>
    </row>
    <row r="126" spans="4:44" ht="17.25" customHeight="1" x14ac:dyDescent="0.15">
      <c r="D126" s="1"/>
      <c r="E126" s="1"/>
      <c r="F126" s="1"/>
      <c r="G126" s="1"/>
      <c r="H126" s="1"/>
      <c r="I126" s="1"/>
      <c r="J126" s="1"/>
      <c r="K126" s="1"/>
      <c r="L126" s="1"/>
      <c r="M126" s="1"/>
      <c r="N126" s="1"/>
      <c r="O126" s="1"/>
      <c r="R126" t="s">
        <v>321</v>
      </c>
    </row>
    <row r="127" spans="4:44" ht="17.25" customHeight="1" x14ac:dyDescent="0.15">
      <c r="D127" s="1"/>
      <c r="E127" s="1"/>
      <c r="F127" s="1"/>
      <c r="G127" s="1"/>
      <c r="H127" s="1"/>
      <c r="I127" s="1"/>
      <c r="J127" s="1"/>
      <c r="K127" s="1"/>
      <c r="L127" s="1" t="s">
        <v>106</v>
      </c>
      <c r="M127" s="1" t="s">
        <v>92</v>
      </c>
      <c r="N127" s="1" t="str">
        <f>IF(Z127="","",INDEX(TERRITORY_MR_LIST,MATCH(Z127,TERRITORY_LIST_ID,0)))</f>
        <v>Территория 3</v>
      </c>
      <c r="O127" s="1" t="s">
        <v>63</v>
      </c>
      <c r="P127" s="1"/>
      <c r="Q127" s="1" t="s">
        <v>101</v>
      </c>
      <c r="R127" s="1" t="s">
        <v>326</v>
      </c>
      <c r="S127" s="1" t="s">
        <v>19</v>
      </c>
      <c r="U127" t="s">
        <v>101</v>
      </c>
      <c r="W127" s="1"/>
      <c r="Z127" t="s">
        <v>112</v>
      </c>
      <c r="AC127" t="s">
        <v>317</v>
      </c>
      <c r="AD127" t="s">
        <v>318</v>
      </c>
      <c r="AE127" t="s">
        <v>327</v>
      </c>
      <c r="AF127" t="s">
        <v>328</v>
      </c>
      <c r="AG127" t="s">
        <v>329</v>
      </c>
      <c r="AH127" t="str">
        <f>IF($E$121=0,"",$E$121)</f>
        <v>Тариф на водоотведение</v>
      </c>
      <c r="AI127" t="str">
        <f>IF($G$121=0,"",$G$121)</f>
        <v>Водоотведение</v>
      </c>
      <c r="AJ127" t="str">
        <f>IF($J$121=0,"",$J$121)</f>
        <v>Тариф на водоотведение для потребителей КГУП "Примтеплоэнерго"</v>
      </c>
      <c r="AK127" t="str">
        <f>IF($K$127="нет","без дифференциации",IF($N$127=0,"",$N$127))</f>
        <v>Территория 3</v>
      </c>
      <c r="AL127" t="str">
        <f>IF($O$127="нет","без дифференциации",IF($R$127=0,"",$R$127))</f>
        <v>Кавалеровский МО</v>
      </c>
      <c r="AN127">
        <f>$I$121</f>
        <v>1</v>
      </c>
      <c r="AO127" t="str">
        <f>$I$121&amp;"."&amp;$M$127</f>
        <v>1.3</v>
      </c>
      <c r="AP127" t="str">
        <f>$I$121&amp;"."&amp;$M$127&amp;"."&amp;$Q$127</f>
        <v>1.3.1</v>
      </c>
    </row>
    <row r="128" spans="4:44" ht="17.25" customHeight="1" x14ac:dyDescent="0.15">
      <c r="D128" s="1"/>
      <c r="E128" s="1"/>
      <c r="F128" s="1"/>
      <c r="G128" s="1"/>
      <c r="H128" s="1"/>
      <c r="I128" s="1"/>
      <c r="J128" s="1"/>
      <c r="K128" s="1"/>
      <c r="L128" s="1"/>
      <c r="M128" s="1"/>
      <c r="N128" s="1"/>
      <c r="O128" s="1"/>
      <c r="P128" s="1"/>
      <c r="Q128" s="1"/>
      <c r="R128" s="1"/>
      <c r="S128" s="1"/>
      <c r="W128" s="1"/>
    </row>
    <row r="129" spans="4:42" ht="17.25" customHeight="1" x14ac:dyDescent="0.15">
      <c r="D129" s="1"/>
      <c r="E129" s="1"/>
      <c r="F129" s="1"/>
      <c r="G129" s="1"/>
      <c r="H129" s="1"/>
      <c r="I129" s="1"/>
      <c r="J129" s="1"/>
      <c r="K129" s="1"/>
      <c r="L129" s="1"/>
      <c r="M129" s="1"/>
      <c r="N129" s="1"/>
      <c r="O129" s="1"/>
      <c r="R129" t="s">
        <v>321</v>
      </c>
    </row>
    <row r="130" spans="4:42" ht="17.25" customHeight="1" x14ac:dyDescent="0.15">
      <c r="D130" s="1"/>
      <c r="E130" s="1"/>
      <c r="F130" s="1"/>
      <c r="G130" s="1"/>
      <c r="H130" s="1"/>
      <c r="I130" s="1"/>
      <c r="J130" s="1"/>
      <c r="K130" s="1"/>
      <c r="L130" s="1" t="s">
        <v>106</v>
      </c>
      <c r="M130" s="1" t="s">
        <v>93</v>
      </c>
      <c r="N130" s="1" t="str">
        <f>IF(Z130="","",INDEX(TERRITORY_MR_LIST,MATCH(Z130,TERRITORY_LIST_ID,0)))</f>
        <v>Территория 4</v>
      </c>
      <c r="O130" s="1" t="s">
        <v>63</v>
      </c>
      <c r="P130" s="1"/>
      <c r="Q130" s="1" t="s">
        <v>101</v>
      </c>
      <c r="R130" s="1" t="s">
        <v>330</v>
      </c>
      <c r="S130" s="1" t="s">
        <v>19</v>
      </c>
      <c r="U130" t="s">
        <v>101</v>
      </c>
      <c r="W130" s="1"/>
      <c r="Z130" t="s">
        <v>116</v>
      </c>
      <c r="AC130" t="s">
        <v>317</v>
      </c>
      <c r="AD130" t="s">
        <v>318</v>
      </c>
      <c r="AE130" t="s">
        <v>331</v>
      </c>
      <c r="AF130" t="s">
        <v>332</v>
      </c>
      <c r="AG130" t="s">
        <v>333</v>
      </c>
      <c r="AH130" t="str">
        <f>IF($E$121=0,"",$E$121)</f>
        <v>Тариф на водоотведение</v>
      </c>
      <c r="AI130" t="str">
        <f>IF($G$121=0,"",$G$121)</f>
        <v>Водоотведение</v>
      </c>
      <c r="AJ130" t="str">
        <f>IF($J$121=0,"",$J$121)</f>
        <v>Тариф на водоотведение для потребителей КГУП "Примтеплоэнерго"</v>
      </c>
      <c r="AK130" t="str">
        <f>IF($K$130="нет","без дифференциации",IF($N$130=0,"",$N$130))</f>
        <v>Территория 4</v>
      </c>
      <c r="AL130" t="str">
        <f>IF($O$130="нет","без дифференциации",IF($R$130=0,"",$R$130))</f>
        <v>с. Барабаш, с. Занадворовка</v>
      </c>
      <c r="AN130">
        <f>$I$121</f>
        <v>1</v>
      </c>
      <c r="AO130" t="str">
        <f>$I$121&amp;"."&amp;$M$130</f>
        <v>1.4</v>
      </c>
      <c r="AP130" t="str">
        <f>$I$121&amp;"."&amp;$M$130&amp;"."&amp;$Q$130</f>
        <v>1.4.1</v>
      </c>
    </row>
    <row r="131" spans="4:42" ht="17.25" customHeight="1" x14ac:dyDescent="0.15">
      <c r="D131" s="1"/>
      <c r="E131" s="1"/>
      <c r="F131" s="1"/>
      <c r="G131" s="1"/>
      <c r="H131" s="1"/>
      <c r="I131" s="1"/>
      <c r="J131" s="1"/>
      <c r="K131" s="1"/>
      <c r="L131" s="1"/>
      <c r="M131" s="1"/>
      <c r="N131" s="1"/>
      <c r="O131" s="1"/>
      <c r="P131" s="1"/>
      <c r="Q131" s="1"/>
      <c r="R131" s="1"/>
      <c r="S131" s="1"/>
      <c r="W131" s="1"/>
    </row>
    <row r="132" spans="4:42" ht="17.25" customHeight="1" x14ac:dyDescent="0.15">
      <c r="D132" s="1"/>
      <c r="E132" s="1"/>
      <c r="F132" s="1"/>
      <c r="G132" s="1"/>
      <c r="H132" s="1"/>
      <c r="I132" s="1"/>
      <c r="J132" s="1"/>
      <c r="K132" s="1"/>
      <c r="L132" s="1"/>
      <c r="M132" s="1"/>
      <c r="N132" s="1"/>
      <c r="O132" s="1"/>
      <c r="P132" s="1" t="s">
        <v>106</v>
      </c>
      <c r="Q132" s="1" t="s">
        <v>105</v>
      </c>
      <c r="R132" s="1" t="s">
        <v>334</v>
      </c>
      <c r="S132" s="1" t="s">
        <v>19</v>
      </c>
      <c r="U132" t="s">
        <v>101</v>
      </c>
      <c r="W132" s="1"/>
      <c r="AC132" t="s">
        <v>317</v>
      </c>
      <c r="AD132" t="s">
        <v>318</v>
      </c>
      <c r="AE132" t="s">
        <v>331</v>
      </c>
      <c r="AF132" t="s">
        <v>335</v>
      </c>
      <c r="AG132" t="s">
        <v>336</v>
      </c>
      <c r="AH132" t="str">
        <f>IF($E$121=0,"",$E$121)</f>
        <v>Тариф на водоотведение</v>
      </c>
      <c r="AI132" t="str">
        <f>IF($G$121=0,"",$G$121)</f>
        <v>Водоотведение</v>
      </c>
      <c r="AJ132" t="str">
        <f>IF($J$121=0,"",$J$121)</f>
        <v>Тариф на водоотведение для потребителей КГУП "Примтеплоэнерго"</v>
      </c>
      <c r="AK132" t="str">
        <f>IF($K$130="нет","без дифференциации",IF($N$130=0,"",$N$130))</f>
        <v>Территория 4</v>
      </c>
      <c r="AL132" t="str">
        <f>IF($O$132="нет","без дифференциации",IF($R$132=0,"",$R$132))</f>
        <v>с. Безверхово, с. Перевозная</v>
      </c>
      <c r="AN132">
        <f>$I$121</f>
        <v>1</v>
      </c>
      <c r="AO132" t="str">
        <f>$I$121&amp;"."&amp;$M$130</f>
        <v>1.4</v>
      </c>
      <c r="AP132" t="str">
        <f>$I$121&amp;"."&amp;$M$130&amp;"."&amp;$Q$132</f>
        <v>1.4.2</v>
      </c>
    </row>
    <row r="133" spans="4:42" ht="17.25" customHeight="1" x14ac:dyDescent="0.15">
      <c r="D133" s="1"/>
      <c r="E133" s="1"/>
      <c r="F133" s="1"/>
      <c r="G133" s="1"/>
      <c r="H133" s="1"/>
      <c r="I133" s="1"/>
      <c r="J133" s="1"/>
      <c r="K133" s="1"/>
      <c r="L133" s="1"/>
      <c r="M133" s="1"/>
      <c r="N133" s="1"/>
      <c r="O133" s="1"/>
      <c r="P133" s="1"/>
      <c r="Q133" s="1"/>
      <c r="R133" s="1"/>
      <c r="S133" s="1"/>
      <c r="W133" s="1"/>
    </row>
    <row r="134" spans="4:42" ht="17.25" customHeight="1" x14ac:dyDescent="0.15">
      <c r="D134" s="1"/>
      <c r="E134" s="1"/>
      <c r="F134" s="1"/>
      <c r="G134" s="1"/>
      <c r="H134" s="1"/>
      <c r="I134" s="1"/>
      <c r="J134" s="1"/>
      <c r="K134" s="1"/>
      <c r="L134" s="1"/>
      <c r="M134" s="1"/>
      <c r="N134" s="1"/>
      <c r="O134" s="1"/>
      <c r="P134" s="1" t="s">
        <v>106</v>
      </c>
      <c r="Q134" s="1" t="s">
        <v>92</v>
      </c>
      <c r="R134" s="1" t="s">
        <v>337</v>
      </c>
      <c r="S134" s="1" t="s">
        <v>19</v>
      </c>
      <c r="U134" t="s">
        <v>101</v>
      </c>
      <c r="W134" s="1"/>
      <c r="AC134" t="s">
        <v>317</v>
      </c>
      <c r="AD134" t="s">
        <v>318</v>
      </c>
      <c r="AE134" t="s">
        <v>331</v>
      </c>
      <c r="AF134" t="s">
        <v>338</v>
      </c>
      <c r="AG134" t="s">
        <v>339</v>
      </c>
      <c r="AH134" t="str">
        <f>IF($E$121=0,"",$E$121)</f>
        <v>Тариф на водоотведение</v>
      </c>
      <c r="AI134" t="str">
        <f>IF($G$121=0,"",$G$121)</f>
        <v>Водоотведение</v>
      </c>
      <c r="AJ134" t="str">
        <f>IF($J$121=0,"",$J$121)</f>
        <v>Тариф на водоотведение для потребителей КГУП "Примтеплоэнерго"</v>
      </c>
      <c r="AK134" t="str">
        <f>IF($K$130="нет","без дифференциации",IF($N$130=0,"",$N$130))</f>
        <v>Территория 4</v>
      </c>
      <c r="AL134" t="str">
        <f>IF($O$134="нет","без дифференциации",IF($R$134=0,"",$R$134))</f>
        <v>пгт. Краскино</v>
      </c>
      <c r="AN134">
        <f>$I$121</f>
        <v>1</v>
      </c>
      <c r="AO134" t="str">
        <f>$I$121&amp;"."&amp;$M$130</f>
        <v>1.4</v>
      </c>
      <c r="AP134" t="str">
        <f>$I$121&amp;"."&amp;$M$130&amp;"."&amp;$Q$134</f>
        <v>1.4.3</v>
      </c>
    </row>
    <row r="135" spans="4:42" ht="17.25" customHeight="1" x14ac:dyDescent="0.15">
      <c r="D135" s="1"/>
      <c r="E135" s="1"/>
      <c r="F135" s="1"/>
      <c r="G135" s="1"/>
      <c r="H135" s="1"/>
      <c r="I135" s="1"/>
      <c r="J135" s="1"/>
      <c r="K135" s="1"/>
      <c r="L135" s="1"/>
      <c r="M135" s="1"/>
      <c r="N135" s="1"/>
      <c r="O135" s="1"/>
      <c r="P135" s="1"/>
      <c r="Q135" s="1"/>
      <c r="R135" s="1"/>
      <c r="S135" s="1"/>
      <c r="W135" s="1"/>
    </row>
    <row r="136" spans="4:42" ht="17.25" customHeight="1" x14ac:dyDescent="0.15">
      <c r="D136" s="1"/>
      <c r="E136" s="1"/>
      <c r="F136" s="1"/>
      <c r="G136" s="1"/>
      <c r="H136" s="1"/>
      <c r="I136" s="1"/>
      <c r="J136" s="1"/>
      <c r="K136" s="1"/>
      <c r="L136" s="1"/>
      <c r="M136" s="1"/>
      <c r="N136" s="1"/>
      <c r="O136" s="1"/>
      <c r="P136" s="1" t="s">
        <v>106</v>
      </c>
      <c r="Q136" s="1" t="s">
        <v>93</v>
      </c>
      <c r="R136" s="1" t="s">
        <v>340</v>
      </c>
      <c r="S136" s="1" t="s">
        <v>19</v>
      </c>
      <c r="U136" t="s">
        <v>101</v>
      </c>
      <c r="W136" s="1"/>
      <c r="AC136" t="s">
        <v>317</v>
      </c>
      <c r="AD136" t="s">
        <v>318</v>
      </c>
      <c r="AE136" t="s">
        <v>331</v>
      </c>
      <c r="AF136" t="s">
        <v>341</v>
      </c>
      <c r="AG136" t="s">
        <v>342</v>
      </c>
      <c r="AH136" t="str">
        <f>IF($E$121=0,"",$E$121)</f>
        <v>Тариф на водоотведение</v>
      </c>
      <c r="AI136" t="str">
        <f>IF($G$121=0,"",$G$121)</f>
        <v>Водоотведение</v>
      </c>
      <c r="AJ136" t="str">
        <f>IF($J$121=0,"",$J$121)</f>
        <v>Тариф на водоотведение для потребителей КГУП "Примтеплоэнерго"</v>
      </c>
      <c r="AK136" t="str">
        <f>IF($K$130="нет","без дифференциации",IF($N$130=0,"",$N$130))</f>
        <v>Территория 4</v>
      </c>
      <c r="AL136" t="str">
        <f>IF($O$136="нет","без дифференциации",IF($R$136=0,"",$R$136))</f>
        <v>пгт. Посьет</v>
      </c>
      <c r="AN136">
        <f>$I$121</f>
        <v>1</v>
      </c>
      <c r="AO136" t="str">
        <f>$I$121&amp;"."&amp;$M$130</f>
        <v>1.4</v>
      </c>
      <c r="AP136" t="str">
        <f>$I$121&amp;"."&amp;$M$130&amp;"."&amp;$Q$136</f>
        <v>1.4.4</v>
      </c>
    </row>
    <row r="137" spans="4:42" ht="17.25" customHeight="1" x14ac:dyDescent="0.15">
      <c r="D137" s="1"/>
      <c r="E137" s="1"/>
      <c r="F137" s="1"/>
      <c r="G137" s="1"/>
      <c r="H137" s="1"/>
      <c r="I137" s="1"/>
      <c r="J137" s="1"/>
      <c r="K137" s="1"/>
      <c r="L137" s="1"/>
      <c r="M137" s="1"/>
      <c r="N137" s="1"/>
      <c r="O137" s="1"/>
      <c r="P137" s="1"/>
      <c r="Q137" s="1"/>
      <c r="R137" s="1"/>
      <c r="S137" s="1"/>
      <c r="W137" s="1"/>
    </row>
    <row r="138" spans="4:42" ht="17.25" customHeight="1" x14ac:dyDescent="0.15">
      <c r="D138" s="1"/>
      <c r="E138" s="1"/>
      <c r="F138" s="1"/>
      <c r="G138" s="1"/>
      <c r="H138" s="1"/>
      <c r="I138" s="1"/>
      <c r="J138" s="1"/>
      <c r="K138" s="1"/>
      <c r="L138" s="1"/>
      <c r="M138" s="1"/>
      <c r="N138" s="1"/>
      <c r="O138" s="1"/>
      <c r="P138" s="1" t="s">
        <v>106</v>
      </c>
      <c r="Q138" s="1" t="s">
        <v>120</v>
      </c>
      <c r="R138" s="1" t="s">
        <v>343</v>
      </c>
      <c r="S138" s="1" t="s">
        <v>19</v>
      </c>
      <c r="U138" t="s">
        <v>101</v>
      </c>
      <c r="W138" s="1"/>
      <c r="AC138" t="s">
        <v>317</v>
      </c>
      <c r="AD138" t="s">
        <v>318</v>
      </c>
      <c r="AE138" t="s">
        <v>331</v>
      </c>
      <c r="AF138" t="s">
        <v>344</v>
      </c>
      <c r="AG138" t="s">
        <v>345</v>
      </c>
      <c r="AH138" t="str">
        <f>IF($E$121=0,"",$E$121)</f>
        <v>Тариф на водоотведение</v>
      </c>
      <c r="AI138" t="str">
        <f>IF($G$121=0,"",$G$121)</f>
        <v>Водоотведение</v>
      </c>
      <c r="AJ138" t="str">
        <f>IF($J$121=0,"",$J$121)</f>
        <v>Тариф на водоотведение для потребителей КГУП "Примтеплоэнерго"</v>
      </c>
      <c r="AK138" t="str">
        <f>IF($K$130="нет","без дифференциации",IF($N$130=0,"",$N$130))</f>
        <v>Территория 4</v>
      </c>
      <c r="AL138" t="str">
        <f>IF($O$138="нет","без дифференциации",IF($R$138=0,"",$R$138))</f>
        <v>пгт. Приморский</v>
      </c>
      <c r="AN138">
        <f>$I$121</f>
        <v>1</v>
      </c>
      <c r="AO138" t="str">
        <f>$I$121&amp;"."&amp;$M$130</f>
        <v>1.4</v>
      </c>
      <c r="AP138" t="str">
        <f>$I$121&amp;"."&amp;$M$130&amp;"."&amp;$Q$138</f>
        <v>1.4.5</v>
      </c>
    </row>
    <row r="139" spans="4:42" ht="17.25" customHeight="1" x14ac:dyDescent="0.15">
      <c r="D139" s="1"/>
      <c r="E139" s="1"/>
      <c r="F139" s="1"/>
      <c r="G139" s="1"/>
      <c r="H139" s="1"/>
      <c r="I139" s="1"/>
      <c r="J139" s="1"/>
      <c r="K139" s="1"/>
      <c r="L139" s="1"/>
      <c r="M139" s="1"/>
      <c r="N139" s="1"/>
      <c r="O139" s="1"/>
      <c r="P139" s="1"/>
      <c r="Q139" s="1"/>
      <c r="R139" s="1"/>
      <c r="S139" s="1"/>
      <c r="W139" s="1"/>
    </row>
    <row r="140" spans="4:42" ht="17.25" customHeight="1" x14ac:dyDescent="0.15">
      <c r="D140" s="1"/>
      <c r="E140" s="1"/>
      <c r="F140" s="1"/>
      <c r="G140" s="1"/>
      <c r="H140" s="1"/>
      <c r="I140" s="1"/>
      <c r="J140" s="1"/>
      <c r="K140" s="1"/>
      <c r="L140" s="1"/>
      <c r="M140" s="1"/>
      <c r="N140" s="1"/>
      <c r="O140" s="1"/>
      <c r="R140" t="s">
        <v>321</v>
      </c>
    </row>
    <row r="141" spans="4:42" ht="17.25" customHeight="1" x14ac:dyDescent="0.15">
      <c r="D141" s="1"/>
      <c r="E141" s="1"/>
      <c r="F141" s="1"/>
      <c r="G141" s="1"/>
      <c r="H141" s="1"/>
      <c r="I141" s="1"/>
      <c r="J141" s="1"/>
      <c r="K141" s="1"/>
      <c r="L141" s="1" t="s">
        <v>106</v>
      </c>
      <c r="M141" s="1" t="s">
        <v>120</v>
      </c>
      <c r="N141" s="1" t="str">
        <f>IF(Z141="","",INDEX(TERRITORY_MR_LIST,MATCH(Z141,TERRITORY_LIST_ID,0)))</f>
        <v>Территория 5</v>
      </c>
      <c r="O141" s="1" t="s">
        <v>63</v>
      </c>
      <c r="P141" s="1"/>
      <c r="Q141" s="1" t="s">
        <v>101</v>
      </c>
      <c r="R141" s="1" t="s">
        <v>346</v>
      </c>
      <c r="S141" s="1" t="s">
        <v>19</v>
      </c>
      <c r="U141" t="s">
        <v>101</v>
      </c>
      <c r="W141" s="1"/>
      <c r="Z141" t="s">
        <v>121</v>
      </c>
      <c r="AC141" t="s">
        <v>317</v>
      </c>
      <c r="AD141" t="s">
        <v>318</v>
      </c>
      <c r="AE141" t="s">
        <v>347</v>
      </c>
      <c r="AF141" t="s">
        <v>348</v>
      </c>
      <c r="AG141" t="s">
        <v>349</v>
      </c>
      <c r="AH141" t="str">
        <f>IF($E$121=0,"",$E$121)</f>
        <v>Тариф на водоотведение</v>
      </c>
      <c r="AI141" t="str">
        <f>IF($G$121=0,"",$G$121)</f>
        <v>Водоотведение</v>
      </c>
      <c r="AJ141" t="str">
        <f>IF($J$121=0,"",$J$121)</f>
        <v>Тариф на водоотведение для потребителей КГУП "Примтеплоэнерго"</v>
      </c>
      <c r="AK141" t="str">
        <f>IF($K$141="нет","без дифференциации",IF($N$141=0,"",$N$141))</f>
        <v>Территория 5</v>
      </c>
      <c r="AL141" t="str">
        <f>IF($O$141="нет","без дифференциации",IF($R$141=0,"",$R$141))</f>
        <v>с. Дмитриевка, с. Майское</v>
      </c>
      <c r="AN141">
        <f>$I$121</f>
        <v>1</v>
      </c>
      <c r="AO141" t="str">
        <f>$I$121&amp;"."&amp;$M$141</f>
        <v>1.5</v>
      </c>
      <c r="AP141" t="str">
        <f>$I$121&amp;"."&amp;$M$141&amp;"."&amp;$Q$141</f>
        <v>1.5.1</v>
      </c>
    </row>
    <row r="142" spans="4:42" ht="17.25" customHeight="1" x14ac:dyDescent="0.15">
      <c r="D142" s="1"/>
      <c r="E142" s="1"/>
      <c r="F142" s="1"/>
      <c r="G142" s="1"/>
      <c r="H142" s="1"/>
      <c r="I142" s="1"/>
      <c r="J142" s="1"/>
      <c r="K142" s="1"/>
      <c r="L142" s="1"/>
      <c r="M142" s="1"/>
      <c r="N142" s="1"/>
      <c r="O142" s="1"/>
      <c r="P142" s="1"/>
      <c r="Q142" s="1"/>
      <c r="R142" s="1"/>
      <c r="S142" s="1"/>
      <c r="W142" s="1"/>
    </row>
    <row r="143" spans="4:42" ht="17.25" customHeight="1" x14ac:dyDescent="0.15">
      <c r="D143" s="1"/>
      <c r="E143" s="1"/>
      <c r="F143" s="1"/>
      <c r="G143" s="1"/>
      <c r="H143" s="1"/>
      <c r="I143" s="1"/>
      <c r="J143" s="1"/>
      <c r="K143" s="1"/>
      <c r="L143" s="1"/>
      <c r="M143" s="1"/>
      <c r="N143" s="1"/>
      <c r="O143" s="1"/>
      <c r="R143" t="s">
        <v>321</v>
      </c>
    </row>
    <row r="144" spans="4:42" ht="17.25" customHeight="1" x14ac:dyDescent="0.15">
      <c r="D144" s="1"/>
      <c r="E144" s="1"/>
      <c r="F144" s="1"/>
      <c r="G144" s="1"/>
      <c r="H144" s="1"/>
      <c r="I144" s="1"/>
      <c r="J144" s="1"/>
      <c r="K144" s="1"/>
      <c r="L144" s="1" t="s">
        <v>106</v>
      </c>
      <c r="M144" s="1" t="s">
        <v>94</v>
      </c>
      <c r="N144" s="1" t="str">
        <f>IF(Z144="","",INDEX(TERRITORY_MR_LIST,MATCH(Z144,TERRITORY_LIST_ID,0)))</f>
        <v>Территория 6</v>
      </c>
      <c r="O144" s="1" t="s">
        <v>63</v>
      </c>
      <c r="P144" s="1"/>
      <c r="Q144" s="1" t="s">
        <v>101</v>
      </c>
      <c r="R144" s="1" t="s">
        <v>350</v>
      </c>
      <c r="S144" s="1" t="s">
        <v>19</v>
      </c>
      <c r="U144" t="s">
        <v>101</v>
      </c>
      <c r="W144" s="1"/>
      <c r="Z144" t="s">
        <v>126</v>
      </c>
      <c r="AC144" t="s">
        <v>317</v>
      </c>
      <c r="AD144" t="s">
        <v>318</v>
      </c>
      <c r="AE144" t="s">
        <v>351</v>
      </c>
      <c r="AF144" t="s">
        <v>352</v>
      </c>
      <c r="AG144" t="s">
        <v>353</v>
      </c>
      <c r="AH144" t="str">
        <f>IF($E$121=0,"",$E$121)</f>
        <v>Тариф на водоотведение</v>
      </c>
      <c r="AI144" t="str">
        <f>IF($G$121=0,"",$G$121)</f>
        <v>Водоотведение</v>
      </c>
      <c r="AJ144" t="str">
        <f>IF($J$121=0,"",$J$121)</f>
        <v>Тариф на водоотведение для потребителей КГУП "Примтеплоэнерго"</v>
      </c>
      <c r="AK144" t="str">
        <f>IF($K$144="нет","без дифференциации",IF($N$144=0,"",$N$144))</f>
        <v>Территория 6</v>
      </c>
      <c r="AL144" t="str">
        <f>IF($O$144="нет","без дифференциации",IF($R$144=0,"",$R$144))</f>
        <v>п. Реттиховка</v>
      </c>
      <c r="AN144">
        <f>$I$121</f>
        <v>1</v>
      </c>
      <c r="AO144" t="str">
        <f>$I$121&amp;"."&amp;$M$144</f>
        <v>1.6</v>
      </c>
      <c r="AP144" t="str">
        <f>$I$121&amp;"."&amp;$M$144&amp;"."&amp;$Q$144</f>
        <v>1.6.1</v>
      </c>
    </row>
    <row r="145" spans="4:42" ht="17.25" customHeight="1" x14ac:dyDescent="0.15">
      <c r="D145" s="1"/>
      <c r="E145" s="1"/>
      <c r="F145" s="1"/>
      <c r="G145" s="1"/>
      <c r="H145" s="1"/>
      <c r="I145" s="1"/>
      <c r="J145" s="1"/>
      <c r="K145" s="1"/>
      <c r="L145" s="1"/>
      <c r="M145" s="1"/>
      <c r="N145" s="1"/>
      <c r="O145" s="1"/>
      <c r="P145" s="1"/>
      <c r="Q145" s="1"/>
      <c r="R145" s="1"/>
      <c r="S145" s="1"/>
      <c r="W145" s="1"/>
    </row>
    <row r="146" spans="4:42" ht="17.25" customHeight="1" x14ac:dyDescent="0.15">
      <c r="D146" s="1"/>
      <c r="E146" s="1"/>
      <c r="F146" s="1"/>
      <c r="G146" s="1"/>
      <c r="H146" s="1"/>
      <c r="I146" s="1"/>
      <c r="J146" s="1"/>
      <c r="K146" s="1"/>
      <c r="L146" s="1"/>
      <c r="M146" s="1"/>
      <c r="N146" s="1"/>
      <c r="O146" s="1"/>
      <c r="R146" t="s">
        <v>321</v>
      </c>
    </row>
    <row r="147" spans="4:42" ht="17.25" customHeight="1" x14ac:dyDescent="0.15">
      <c r="D147" s="1"/>
      <c r="E147" s="1"/>
      <c r="F147" s="1"/>
      <c r="G147" s="1"/>
      <c r="H147" s="1"/>
      <c r="I147" s="1"/>
      <c r="J147" s="1"/>
      <c r="K147" s="1"/>
      <c r="L147" s="1" t="s">
        <v>106</v>
      </c>
      <c r="M147" s="1" t="s">
        <v>95</v>
      </c>
      <c r="N147" s="1" t="str">
        <f>IF(Z147="","",INDEX(TERRITORY_MR_LIST,MATCH(Z147,TERRITORY_LIST_ID,0)))</f>
        <v>Территория 7</v>
      </c>
      <c r="O147" s="1" t="s">
        <v>63</v>
      </c>
      <c r="P147" s="1"/>
      <c r="Q147" s="1" t="s">
        <v>101</v>
      </c>
      <c r="R147" s="1" t="s">
        <v>354</v>
      </c>
      <c r="S147" s="1" t="s">
        <v>19</v>
      </c>
      <c r="U147" t="s">
        <v>101</v>
      </c>
      <c r="W147" s="1"/>
      <c r="Z147" t="s">
        <v>130</v>
      </c>
      <c r="AC147" t="s">
        <v>317</v>
      </c>
      <c r="AD147" t="s">
        <v>318</v>
      </c>
      <c r="AE147" t="s">
        <v>355</v>
      </c>
      <c r="AF147" t="s">
        <v>356</v>
      </c>
      <c r="AG147" t="s">
        <v>357</v>
      </c>
      <c r="AH147" t="str">
        <f>IF($E$121=0,"",$E$121)</f>
        <v>Тариф на водоотведение</v>
      </c>
      <c r="AI147" t="str">
        <f>IF($G$121=0,"",$G$121)</f>
        <v>Водоотведение</v>
      </c>
      <c r="AJ147" t="str">
        <f>IF($J$121=0,"",$J$121)</f>
        <v>Тариф на водоотведение для потребителей КГУП "Примтеплоэнерго"</v>
      </c>
      <c r="AK147" t="str">
        <f>IF($K$147="нет","без дифференциации",IF($N$147=0,"",$N$147))</f>
        <v>Территория 7</v>
      </c>
      <c r="AL147" t="str">
        <f>IF($O$147="нет","без дифференциации",IF($R$147=0,"",$R$147))</f>
        <v>с. Снегуровка</v>
      </c>
      <c r="AN147">
        <f>$I$121</f>
        <v>1</v>
      </c>
      <c r="AO147" t="str">
        <f>$I$121&amp;"."&amp;$M$147</f>
        <v>1.7</v>
      </c>
      <c r="AP147" t="str">
        <f>$I$121&amp;"."&amp;$M$147&amp;"."&amp;$Q$147</f>
        <v>1.7.1</v>
      </c>
    </row>
    <row r="148" spans="4:42" ht="17.25" customHeight="1" x14ac:dyDescent="0.15">
      <c r="D148" s="1"/>
      <c r="E148" s="1"/>
      <c r="F148" s="1"/>
      <c r="G148" s="1"/>
      <c r="H148" s="1"/>
      <c r="I148" s="1"/>
      <c r="J148" s="1"/>
      <c r="K148" s="1"/>
      <c r="L148" s="1"/>
      <c r="M148" s="1"/>
      <c r="N148" s="1"/>
      <c r="O148" s="1"/>
      <c r="P148" s="1"/>
      <c r="Q148" s="1"/>
      <c r="R148" s="1"/>
      <c r="S148" s="1"/>
      <c r="W148" s="1"/>
    </row>
    <row r="149" spans="4:42" ht="17.25" customHeight="1" x14ac:dyDescent="0.15">
      <c r="D149" s="1"/>
      <c r="E149" s="1"/>
      <c r="F149" s="1"/>
      <c r="G149" s="1"/>
      <c r="H149" s="1"/>
      <c r="I149" s="1"/>
      <c r="J149" s="1"/>
      <c r="K149" s="1"/>
      <c r="L149" s="1"/>
      <c r="M149" s="1"/>
      <c r="N149" s="1"/>
      <c r="O149" s="1"/>
      <c r="R149" t="s">
        <v>321</v>
      </c>
    </row>
    <row r="150" spans="4:42" ht="17.25" customHeight="1" x14ac:dyDescent="0.15">
      <c r="D150" s="1"/>
      <c r="E150" s="1"/>
      <c r="F150" s="1"/>
      <c r="G150" s="1"/>
      <c r="H150" s="1"/>
      <c r="I150" s="1"/>
      <c r="J150" s="1"/>
      <c r="K150" s="1"/>
      <c r="L150" s="1" t="s">
        <v>106</v>
      </c>
      <c r="M150" s="1" t="s">
        <v>134</v>
      </c>
      <c r="N150" s="1" t="str">
        <f>IF(Z150="","",INDEX(TERRITORY_MR_LIST,MATCH(Z150,TERRITORY_LIST_ID,0)))</f>
        <v>Территория 8</v>
      </c>
      <c r="O150" s="1" t="s">
        <v>63</v>
      </c>
      <c r="P150" s="1"/>
      <c r="Q150" s="1" t="s">
        <v>101</v>
      </c>
      <c r="R150" s="1" t="s">
        <v>358</v>
      </c>
      <c r="S150" s="1" t="s">
        <v>19</v>
      </c>
      <c r="U150" t="s">
        <v>101</v>
      </c>
      <c r="W150" s="1"/>
      <c r="Z150" t="s">
        <v>135</v>
      </c>
      <c r="AC150" t="s">
        <v>317</v>
      </c>
      <c r="AD150" t="s">
        <v>318</v>
      </c>
      <c r="AE150" t="s">
        <v>359</v>
      </c>
      <c r="AF150" t="s">
        <v>360</v>
      </c>
      <c r="AG150" t="s">
        <v>361</v>
      </c>
      <c r="AH150" t="str">
        <f>IF($E$121=0,"",$E$121)</f>
        <v>Тариф на водоотведение</v>
      </c>
      <c r="AI150" t="str">
        <f>IF($G$121=0,"",$G$121)</f>
        <v>Водоотведение</v>
      </c>
      <c r="AJ150" t="str">
        <f>IF($J$121=0,"",$J$121)</f>
        <v>Тариф на водоотведение для потребителей КГУП "Примтеплоэнерго"</v>
      </c>
      <c r="AK150" t="str">
        <f>IF($K$150="нет","без дифференциации",IF($N$150=0,"",$N$150))</f>
        <v>Территория 8</v>
      </c>
      <c r="AL150" t="str">
        <f>IF($O$150="нет","без дифференциации",IF($R$150=0,"",$R$150))</f>
        <v>с. Черниговка</v>
      </c>
      <c r="AN150">
        <f>$I$121</f>
        <v>1</v>
      </c>
      <c r="AO150" t="str">
        <f>$I$121&amp;"."&amp;$M$150</f>
        <v>1.8</v>
      </c>
      <c r="AP150" t="str">
        <f>$I$121&amp;"."&amp;$M$150&amp;"."&amp;$Q$150</f>
        <v>1.8.1</v>
      </c>
    </row>
    <row r="151" spans="4:42" ht="17.25" customHeight="1" x14ac:dyDescent="0.15">
      <c r="D151" s="1"/>
      <c r="E151" s="1"/>
      <c r="F151" s="1"/>
      <c r="G151" s="1"/>
      <c r="H151" s="1"/>
      <c r="I151" s="1"/>
      <c r="J151" s="1"/>
      <c r="K151" s="1"/>
      <c r="L151" s="1"/>
      <c r="M151" s="1"/>
      <c r="N151" s="1"/>
      <c r="O151" s="1"/>
      <c r="P151" s="1"/>
      <c r="Q151" s="1"/>
      <c r="R151" s="1"/>
      <c r="S151" s="1"/>
      <c r="W151" s="1"/>
    </row>
    <row r="152" spans="4:42" ht="17.25" customHeight="1" x14ac:dyDescent="0.15">
      <c r="D152" s="1"/>
      <c r="E152" s="1"/>
      <c r="F152" s="1"/>
      <c r="G152" s="1"/>
      <c r="H152" s="1"/>
      <c r="I152" s="1"/>
      <c r="J152" s="1"/>
      <c r="K152" s="1"/>
      <c r="L152" s="1"/>
      <c r="M152" s="1"/>
      <c r="N152" s="1"/>
      <c r="O152" s="1"/>
      <c r="R152" t="s">
        <v>321</v>
      </c>
    </row>
    <row r="153" spans="4:42" ht="17.25" customHeight="1" x14ac:dyDescent="0.15">
      <c r="D153" s="1"/>
      <c r="E153" s="1"/>
      <c r="F153" s="1"/>
      <c r="G153" s="1"/>
      <c r="H153" s="1"/>
      <c r="I153" s="1"/>
      <c r="J153" s="1"/>
      <c r="K153" s="1"/>
      <c r="L153" s="1" t="s">
        <v>106</v>
      </c>
      <c r="M153" s="1" t="s">
        <v>139</v>
      </c>
      <c r="N153" s="1" t="str">
        <f>IF(Z153="","",INDEX(TERRITORY_MR_LIST,MATCH(Z153,TERRITORY_LIST_ID,0)))</f>
        <v>Территория 9</v>
      </c>
      <c r="O153" s="1" t="s">
        <v>63</v>
      </c>
      <c r="P153" s="1"/>
      <c r="Q153" s="1" t="s">
        <v>101</v>
      </c>
      <c r="R153" s="1" t="s">
        <v>362</v>
      </c>
      <c r="S153" s="1" t="s">
        <v>19</v>
      </c>
      <c r="U153" t="s">
        <v>101</v>
      </c>
      <c r="W153" s="1"/>
      <c r="Z153" t="s">
        <v>140</v>
      </c>
      <c r="AC153" t="s">
        <v>317</v>
      </c>
      <c r="AD153" t="s">
        <v>318</v>
      </c>
      <c r="AE153" t="s">
        <v>363</v>
      </c>
      <c r="AF153" t="s">
        <v>364</v>
      </c>
      <c r="AG153" t="s">
        <v>365</v>
      </c>
      <c r="AH153" t="str">
        <f>IF($E$121=0,"",$E$121)</f>
        <v>Тариф на водоотведение</v>
      </c>
      <c r="AI153" t="str">
        <f>IF($G$121=0,"",$G$121)</f>
        <v>Водоотведение</v>
      </c>
      <c r="AJ153" t="str">
        <f>IF($J$121=0,"",$J$121)</f>
        <v>Тариф на водоотведение для потребителей КГУП "Примтеплоэнерго"</v>
      </c>
      <c r="AK153" t="str">
        <f>IF($K$153="нет","без дифференциации",IF($N$153=0,"",$N$153))</f>
        <v>Территория 9</v>
      </c>
      <c r="AL153" t="str">
        <f>IF($O$153="нет","без дифференциации",IF($R$153=0,"",$R$153))</f>
        <v>с. Романовка</v>
      </c>
      <c r="AN153">
        <f>$I$121</f>
        <v>1</v>
      </c>
      <c r="AO153" t="str">
        <f>$I$121&amp;"."&amp;$M$153</f>
        <v>1.9</v>
      </c>
      <c r="AP153" t="str">
        <f>$I$121&amp;"."&amp;$M$153&amp;"."&amp;$Q$153</f>
        <v>1.9.1</v>
      </c>
    </row>
    <row r="154" spans="4:42" ht="17.25" customHeight="1" x14ac:dyDescent="0.15">
      <c r="D154" s="1"/>
      <c r="E154" s="1"/>
      <c r="F154" s="1"/>
      <c r="G154" s="1"/>
      <c r="H154" s="1"/>
      <c r="I154" s="1"/>
      <c r="J154" s="1"/>
      <c r="K154" s="1"/>
      <c r="L154" s="1"/>
      <c r="M154" s="1"/>
      <c r="N154" s="1"/>
      <c r="O154" s="1"/>
      <c r="P154" s="1"/>
      <c r="Q154" s="1"/>
      <c r="R154" s="1"/>
      <c r="S154" s="1"/>
      <c r="W154" s="1"/>
    </row>
    <row r="155" spans="4:42" ht="17.25" customHeight="1" x14ac:dyDescent="0.15">
      <c r="D155" s="1"/>
      <c r="E155" s="1"/>
      <c r="F155" s="1"/>
      <c r="G155" s="1"/>
      <c r="H155" s="1"/>
      <c r="I155" s="1"/>
      <c r="J155" s="1"/>
      <c r="K155" s="1"/>
      <c r="L155" s="1"/>
      <c r="M155" s="1"/>
      <c r="N155" s="1"/>
      <c r="O155" s="1"/>
      <c r="R155" t="s">
        <v>321</v>
      </c>
    </row>
    <row r="156" spans="4:42" ht="17.25" customHeight="1" x14ac:dyDescent="0.15">
      <c r="D156" s="1"/>
      <c r="E156" s="1"/>
      <c r="F156" s="1"/>
      <c r="G156" s="1"/>
      <c r="H156" s="1"/>
      <c r="I156" s="1"/>
      <c r="J156" s="1"/>
      <c r="K156" s="1"/>
      <c r="L156" s="1" t="s">
        <v>106</v>
      </c>
      <c r="M156" s="1" t="s">
        <v>145</v>
      </c>
      <c r="N156" s="1" t="str">
        <f>IF(Z156="","",INDEX(TERRITORY_MR_LIST,MATCH(Z156,TERRITORY_LIST_ID,0)))</f>
        <v>Территория 10</v>
      </c>
      <c r="O156" s="1" t="s">
        <v>63</v>
      </c>
      <c r="P156" s="1"/>
      <c r="Q156" s="1" t="s">
        <v>101</v>
      </c>
      <c r="R156" s="1" t="s">
        <v>366</v>
      </c>
      <c r="S156" s="1" t="s">
        <v>19</v>
      </c>
      <c r="U156" t="s">
        <v>101</v>
      </c>
      <c r="W156" s="1"/>
      <c r="Z156" t="s">
        <v>146</v>
      </c>
      <c r="AC156" t="s">
        <v>317</v>
      </c>
      <c r="AD156" t="s">
        <v>318</v>
      </c>
      <c r="AE156" t="s">
        <v>367</v>
      </c>
      <c r="AF156" t="s">
        <v>368</v>
      </c>
      <c r="AG156" t="s">
        <v>369</v>
      </c>
      <c r="AH156" t="str">
        <f>IF($E$121=0,"",$E$121)</f>
        <v>Тариф на водоотведение</v>
      </c>
      <c r="AI156" t="str">
        <f>IF($G$121=0,"",$G$121)</f>
        <v>Водоотведение</v>
      </c>
      <c r="AJ156" t="str">
        <f>IF($J$121=0,"",$J$121)</f>
        <v>Тариф на водоотведение для потребителей КГУП "Примтеплоэнерго"</v>
      </c>
      <c r="AK156" t="str">
        <f>IF($K$156="нет","без дифференциации",IF($N$156=0,"",$N$156))</f>
        <v>Территория 10</v>
      </c>
      <c r="AL156" t="str">
        <f>IF($O$156="нет","без дифференциации",IF($R$156=0,"",$R$156))</f>
        <v>с. Многоудобное</v>
      </c>
      <c r="AN156">
        <f>$I$121</f>
        <v>1</v>
      </c>
      <c r="AO156" t="str">
        <f>$I$121&amp;"."&amp;$M$156</f>
        <v>1.10</v>
      </c>
      <c r="AP156" t="str">
        <f>$I$121&amp;"."&amp;$M$156&amp;"."&amp;$Q$156</f>
        <v>1.10.1</v>
      </c>
    </row>
    <row r="157" spans="4:42" ht="17.25" customHeight="1" x14ac:dyDescent="0.15">
      <c r="D157" s="1"/>
      <c r="E157" s="1"/>
      <c r="F157" s="1"/>
      <c r="G157" s="1"/>
      <c r="H157" s="1"/>
      <c r="I157" s="1"/>
      <c r="J157" s="1"/>
      <c r="K157" s="1"/>
      <c r="L157" s="1"/>
      <c r="M157" s="1"/>
      <c r="N157" s="1"/>
      <c r="O157" s="1"/>
      <c r="P157" s="1"/>
      <c r="Q157" s="1"/>
      <c r="R157" s="1"/>
      <c r="S157" s="1"/>
      <c r="W157" s="1"/>
    </row>
    <row r="158" spans="4:42" ht="17.25" customHeight="1" x14ac:dyDescent="0.15">
      <c r="D158" s="1"/>
      <c r="E158" s="1"/>
      <c r="F158" s="1"/>
      <c r="G158" s="1"/>
      <c r="H158" s="1"/>
      <c r="I158" s="1"/>
      <c r="J158" s="1"/>
      <c r="K158" s="1"/>
      <c r="L158" s="1"/>
      <c r="M158" s="1"/>
      <c r="N158" s="1"/>
      <c r="O158" s="1"/>
      <c r="R158" t="s">
        <v>321</v>
      </c>
    </row>
    <row r="159" spans="4:42" ht="17.25" customHeight="1" x14ac:dyDescent="0.15">
      <c r="D159" s="1"/>
      <c r="E159" s="1"/>
      <c r="F159" s="1"/>
      <c r="G159" s="1"/>
      <c r="H159" s="1"/>
      <c r="I159" s="1"/>
      <c r="J159" s="1"/>
      <c r="K159" s="1"/>
      <c r="L159" s="1" t="s">
        <v>106</v>
      </c>
      <c r="M159" s="1" t="s">
        <v>150</v>
      </c>
      <c r="N159" s="1" t="str">
        <f>IF(Z159="","",INDEX(TERRITORY_MR_LIST,MATCH(Z159,TERRITORY_LIST_ID,0)))</f>
        <v>Территория 11</v>
      </c>
      <c r="O159" s="1" t="s">
        <v>63</v>
      </c>
      <c r="P159" s="1"/>
      <c r="Q159" s="1" t="s">
        <v>101</v>
      </c>
      <c r="R159" s="1" t="s">
        <v>370</v>
      </c>
      <c r="S159" s="1" t="s">
        <v>19</v>
      </c>
      <c r="U159" t="s">
        <v>101</v>
      </c>
      <c r="W159" s="1"/>
      <c r="Z159" t="s">
        <v>151</v>
      </c>
      <c r="AC159" t="s">
        <v>317</v>
      </c>
      <c r="AD159" t="s">
        <v>318</v>
      </c>
      <c r="AE159" t="s">
        <v>371</v>
      </c>
      <c r="AF159" t="s">
        <v>372</v>
      </c>
      <c r="AG159" t="s">
        <v>373</v>
      </c>
      <c r="AH159" t="str">
        <f>IF($E$121=0,"",$E$121)</f>
        <v>Тариф на водоотведение</v>
      </c>
      <c r="AI159" t="str">
        <f>IF($G$121=0,"",$G$121)</f>
        <v>Водоотведение</v>
      </c>
      <c r="AJ159" t="str">
        <f>IF($J$121=0,"",$J$121)</f>
        <v>Тариф на водоотведение для потребителей КГУП "Примтеплоэнерго"</v>
      </c>
      <c r="AK159" t="str">
        <f>IF($K$159="нет","без дифференциации",IF($N$159=0,"",$N$159))</f>
        <v>Территория 11</v>
      </c>
      <c r="AL159" t="str">
        <f>IF($O$159="нет","без дифференциации",IF($R$159=0,"",$R$159))</f>
        <v>Дальнегорский ГО</v>
      </c>
      <c r="AN159">
        <f>$I$121</f>
        <v>1</v>
      </c>
      <c r="AO159" t="str">
        <f>$I$121&amp;"."&amp;$M$159</f>
        <v>1.11</v>
      </c>
      <c r="AP159" t="str">
        <f>$I$121&amp;"."&amp;$M$159&amp;"."&amp;$Q$159</f>
        <v>1.11.1</v>
      </c>
    </row>
    <row r="160" spans="4:42" ht="17.25" customHeight="1" x14ac:dyDescent="0.15">
      <c r="D160" s="1"/>
      <c r="E160" s="1"/>
      <c r="F160" s="1"/>
      <c r="G160" s="1"/>
      <c r="H160" s="1"/>
      <c r="I160" s="1"/>
      <c r="J160" s="1"/>
      <c r="K160" s="1"/>
      <c r="L160" s="1"/>
      <c r="M160" s="1"/>
      <c r="N160" s="1"/>
      <c r="O160" s="1"/>
      <c r="P160" s="1"/>
      <c r="Q160" s="1"/>
      <c r="R160" s="1"/>
      <c r="S160" s="1"/>
      <c r="W160" s="1"/>
    </row>
    <row r="161" spans="4:44" ht="17.25" customHeight="1" x14ac:dyDescent="0.15">
      <c r="D161" s="1"/>
      <c r="E161" s="1"/>
      <c r="F161" s="1"/>
      <c r="G161" s="1"/>
      <c r="H161" s="1"/>
      <c r="I161" s="1"/>
      <c r="J161" s="1"/>
      <c r="K161" s="1"/>
      <c r="L161" s="1"/>
      <c r="M161" s="1"/>
      <c r="N161" s="1"/>
      <c r="O161" s="1"/>
      <c r="R161" t="s">
        <v>321</v>
      </c>
    </row>
    <row r="162" spans="4:44" ht="17.25" customHeight="1" x14ac:dyDescent="0.15">
      <c r="D162" s="1"/>
      <c r="E162" s="1"/>
      <c r="F162" s="1"/>
      <c r="G162" s="1"/>
      <c r="H162" s="1"/>
      <c r="I162" s="1"/>
      <c r="J162" s="1"/>
      <c r="K162" s="1"/>
      <c r="L162" s="1" t="s">
        <v>106</v>
      </c>
      <c r="M162" s="1" t="s">
        <v>154</v>
      </c>
      <c r="N162" s="1" t="str">
        <f>IF(Z162="","",INDEX(TERRITORY_MR_LIST,MATCH(Z162,TERRITORY_LIST_ID,0)))</f>
        <v>Территория 12</v>
      </c>
      <c r="O162" s="1" t="s">
        <v>63</v>
      </c>
      <c r="P162" s="1"/>
      <c r="Q162" s="1" t="s">
        <v>101</v>
      </c>
      <c r="R162" s="1" t="s">
        <v>374</v>
      </c>
      <c r="S162" s="1" t="s">
        <v>19</v>
      </c>
      <c r="U162" t="s">
        <v>101</v>
      </c>
      <c r="W162" s="1"/>
      <c r="Z162" t="s">
        <v>155</v>
      </c>
      <c r="AC162" t="s">
        <v>317</v>
      </c>
      <c r="AD162" t="s">
        <v>318</v>
      </c>
      <c r="AE162" t="s">
        <v>375</v>
      </c>
      <c r="AF162" t="s">
        <v>376</v>
      </c>
      <c r="AG162" t="s">
        <v>377</v>
      </c>
      <c r="AH162" t="str">
        <f>IF($E$121=0,"",$E$121)</f>
        <v>Тариф на водоотведение</v>
      </c>
      <c r="AI162" t="str">
        <f>IF($G$121=0,"",$G$121)</f>
        <v>Водоотведение</v>
      </c>
      <c r="AJ162" t="str">
        <f>IF($J$121=0,"",$J$121)</f>
        <v>Тариф на водоотведение для потребителей КГУП "Примтеплоэнерго"</v>
      </c>
      <c r="AK162" t="str">
        <f>IF($K$162="нет","без дифференциации",IF($N$162=0,"",$N$162))</f>
        <v>Территория 12</v>
      </c>
      <c r="AL162" t="str">
        <f>IF($O$162="нет","без дифференциации",IF($R$162=0,"",$R$162))</f>
        <v>ГО Спасск-Дальний</v>
      </c>
      <c r="AN162">
        <f>$I$121</f>
        <v>1</v>
      </c>
      <c r="AO162" t="str">
        <f>$I$121&amp;"."&amp;$M$162</f>
        <v>1.12</v>
      </c>
      <c r="AP162" t="str">
        <f>$I$121&amp;"."&amp;$M$162&amp;"."&amp;$Q$162</f>
        <v>1.12.1</v>
      </c>
    </row>
    <row r="163" spans="4:44" ht="17.25" customHeight="1" x14ac:dyDescent="0.15">
      <c r="D163" s="1"/>
      <c r="E163" s="1"/>
      <c r="F163" s="1"/>
      <c r="G163" s="1"/>
      <c r="H163" s="1"/>
      <c r="I163" s="1"/>
      <c r="J163" s="1"/>
      <c r="K163" s="1"/>
      <c r="L163" s="1"/>
      <c r="M163" s="1"/>
      <c r="N163" s="1"/>
      <c r="O163" s="1"/>
      <c r="P163" s="1"/>
      <c r="Q163" s="1"/>
      <c r="R163" s="1"/>
      <c r="S163" s="1"/>
      <c r="W163" s="1"/>
    </row>
    <row r="164" spans="4:44" ht="17.25" customHeight="1" x14ac:dyDescent="0.15">
      <c r="D164" s="1"/>
      <c r="E164" s="1"/>
      <c r="F164" s="1"/>
      <c r="G164" s="1"/>
      <c r="H164" s="1"/>
      <c r="I164" s="1"/>
      <c r="J164" s="1"/>
      <c r="K164" s="1"/>
      <c r="L164" s="1"/>
      <c r="M164" s="1"/>
      <c r="N164" s="1"/>
      <c r="O164" s="1"/>
      <c r="R164" t="s">
        <v>321</v>
      </c>
    </row>
    <row r="165" spans="4:44" ht="17.25" customHeight="1" x14ac:dyDescent="0.15">
      <c r="D165" s="1"/>
      <c r="E165" s="1"/>
      <c r="F165" s="1"/>
      <c r="G165" s="1"/>
      <c r="H165" s="1"/>
      <c r="I165" s="1"/>
      <c r="J165" s="1"/>
      <c r="K165" s="1"/>
      <c r="L165" s="1" t="s">
        <v>106</v>
      </c>
      <c r="M165" s="1" t="s">
        <v>158</v>
      </c>
      <c r="N165" s="1" t="str">
        <f>IF(Z165="","",INDEX(TERRITORY_MR_LIST,MATCH(Z165,TERRITORY_LIST_ID,0)))</f>
        <v>Территория 13</v>
      </c>
      <c r="O165" s="1" t="s">
        <v>63</v>
      </c>
      <c r="P165" s="1"/>
      <c r="Q165" s="1" t="s">
        <v>101</v>
      </c>
      <c r="R165" s="1" t="s">
        <v>378</v>
      </c>
      <c r="S165" s="1" t="s">
        <v>19</v>
      </c>
      <c r="U165" t="s">
        <v>101</v>
      </c>
      <c r="W165" s="1"/>
      <c r="Z165" t="s">
        <v>159</v>
      </c>
      <c r="AC165" t="s">
        <v>317</v>
      </c>
      <c r="AD165" t="s">
        <v>318</v>
      </c>
      <c r="AE165" t="s">
        <v>379</v>
      </c>
      <c r="AF165" t="s">
        <v>380</v>
      </c>
      <c r="AG165" t="s">
        <v>381</v>
      </c>
      <c r="AH165" t="str">
        <f>IF($E$121=0,"",$E$121)</f>
        <v>Тариф на водоотведение</v>
      </c>
      <c r="AI165" t="str">
        <f>IF($G$121=0,"",$G$121)</f>
        <v>Водоотведение</v>
      </c>
      <c r="AJ165" t="str">
        <f>IF($J$121=0,"",$J$121)</f>
        <v>Тариф на водоотведение для потребителей КГУП "Примтеплоэнерго"</v>
      </c>
      <c r="AK165" t="str">
        <f>IF($K$165="нет","без дифференциации",IF($N$165=0,"",$N$165))</f>
        <v>Территория 13</v>
      </c>
      <c r="AL165" t="str">
        <f>IF($O$165="нет","без дифференциации",IF($R$165=0,"",$R$165))</f>
        <v>ГО ЗАТО г. Фокино</v>
      </c>
      <c r="AN165">
        <f>$I$121</f>
        <v>1</v>
      </c>
      <c r="AO165" t="str">
        <f>$I$121&amp;"."&amp;$M$165</f>
        <v>1.13</v>
      </c>
      <c r="AP165" t="str">
        <f>$I$121&amp;"."&amp;$M$165&amp;"."&amp;$Q$165</f>
        <v>1.13.1</v>
      </c>
    </row>
    <row r="166" spans="4:44" ht="17.25" customHeight="1" x14ac:dyDescent="0.15">
      <c r="D166" s="1"/>
      <c r="E166" s="1"/>
      <c r="F166" s="1"/>
      <c r="G166" s="1"/>
      <c r="H166" s="1"/>
      <c r="I166" s="1"/>
      <c r="J166" s="1"/>
      <c r="K166" s="1"/>
      <c r="L166" s="1"/>
      <c r="M166" s="1"/>
      <c r="N166" s="1"/>
      <c r="O166" s="1"/>
      <c r="P166" s="1"/>
      <c r="Q166" s="1"/>
      <c r="R166" s="1"/>
      <c r="S166" s="1"/>
      <c r="W166" s="1"/>
    </row>
    <row r="167" spans="4:44" ht="17.25" customHeight="1" x14ac:dyDescent="0.15">
      <c r="D167" s="1"/>
      <c r="E167" s="1"/>
      <c r="F167" s="1"/>
      <c r="G167" s="1"/>
      <c r="H167" s="1"/>
      <c r="I167" s="1"/>
      <c r="J167" s="1"/>
      <c r="K167" s="1"/>
      <c r="L167" s="1"/>
      <c r="M167" s="1"/>
      <c r="N167" s="1"/>
      <c r="O167" s="1"/>
      <c r="P167" s="1" t="s">
        <v>106</v>
      </c>
      <c r="Q167" s="1" t="s">
        <v>105</v>
      </c>
      <c r="R167" s="1" t="s">
        <v>382</v>
      </c>
      <c r="S167" s="1" t="s">
        <v>19</v>
      </c>
      <c r="U167" t="s">
        <v>101</v>
      </c>
      <c r="W167" s="1"/>
      <c r="AC167" t="s">
        <v>317</v>
      </c>
      <c r="AD167" t="s">
        <v>318</v>
      </c>
      <c r="AE167" t="s">
        <v>379</v>
      </c>
      <c r="AF167" t="s">
        <v>383</v>
      </c>
      <c r="AG167" t="s">
        <v>384</v>
      </c>
      <c r="AH167" t="str">
        <f>IF($E$121=0,"",$E$121)</f>
        <v>Тариф на водоотведение</v>
      </c>
      <c r="AI167" t="str">
        <f>IF($G$121=0,"",$G$121)</f>
        <v>Водоотведение</v>
      </c>
      <c r="AJ167" t="str">
        <f>IF($J$121=0,"",$J$121)</f>
        <v>Тариф на водоотведение для потребителей КГУП "Примтеплоэнерго"</v>
      </c>
      <c r="AK167" t="str">
        <f>IF($K$165="нет","без дифференциации",IF($N$165=0,"",$N$165))</f>
        <v>Территория 13</v>
      </c>
      <c r="AL167" t="str">
        <f>IF($O$167="нет","без дифференциации",IF($R$167=0,"",$R$167))</f>
        <v>ГО ЗАТО г. Фокино (пгт. Путятин)</v>
      </c>
      <c r="AN167">
        <f>$I$121</f>
        <v>1</v>
      </c>
      <c r="AO167" t="str">
        <f>$I$121&amp;"."&amp;$M$165</f>
        <v>1.13</v>
      </c>
      <c r="AP167" t="str">
        <f>$I$121&amp;"."&amp;$M$165&amp;"."&amp;$Q$167</f>
        <v>1.13.2</v>
      </c>
    </row>
    <row r="168" spans="4:44" ht="17.25" customHeight="1" x14ac:dyDescent="0.15">
      <c r="D168" s="1"/>
      <c r="E168" s="1"/>
      <c r="F168" s="1"/>
      <c r="G168" s="1"/>
      <c r="H168" s="1"/>
      <c r="I168" s="1"/>
      <c r="J168" s="1"/>
      <c r="K168" s="1"/>
      <c r="L168" s="1"/>
      <c r="M168" s="1"/>
      <c r="N168" s="1"/>
      <c r="O168" s="1"/>
      <c r="P168" s="1"/>
      <c r="Q168" s="1"/>
      <c r="R168" s="1"/>
      <c r="S168" s="1"/>
      <c r="W168" s="1"/>
    </row>
    <row r="169" spans="4:44" ht="17.25" customHeight="1" x14ac:dyDescent="0.15">
      <c r="D169" s="1"/>
      <c r="E169" s="1"/>
      <c r="F169" s="1"/>
      <c r="G169" s="1"/>
      <c r="H169" s="1"/>
      <c r="I169" s="1"/>
      <c r="J169" s="1"/>
      <c r="K169" s="1"/>
      <c r="L169" s="1"/>
      <c r="M169" s="1"/>
      <c r="N169" s="1"/>
      <c r="O169" s="1"/>
      <c r="R169" t="s">
        <v>321</v>
      </c>
    </row>
    <row r="170" spans="4:44" ht="17.25" customHeight="1" x14ac:dyDescent="0.15">
      <c r="D170" s="1"/>
      <c r="E170" s="1"/>
      <c r="F170" s="1"/>
      <c r="G170" s="1"/>
      <c r="H170" s="1"/>
      <c r="I170" s="1"/>
      <c r="J170" s="1"/>
      <c r="K170" s="1"/>
      <c r="N170" t="s">
        <v>385</v>
      </c>
      <c r="AR170">
        <v>0</v>
      </c>
    </row>
    <row r="171" spans="4:44" ht="17.25" customHeight="1" x14ac:dyDescent="0.15">
      <c r="D171" s="1"/>
      <c r="E171" s="1"/>
      <c r="F171" s="1"/>
      <c r="G171" s="1"/>
      <c r="J171" t="s">
        <v>386</v>
      </c>
      <c r="AR171">
        <v>0</v>
      </c>
    </row>
    <row r="172" spans="4:44" ht="17.25" customHeight="1" x14ac:dyDescent="0.15">
      <c r="D172" s="1">
        <v>2</v>
      </c>
      <c r="E172" s="1" t="s">
        <v>387</v>
      </c>
      <c r="F172" s="1" t="s">
        <v>19</v>
      </c>
      <c r="G172" s="1"/>
      <c r="H172" s="1"/>
      <c r="I172" s="1"/>
      <c r="J172" s="1"/>
      <c r="K172" s="1"/>
      <c r="L172" s="1"/>
      <c r="M172" s="1"/>
      <c r="N172" s="1"/>
      <c r="O172" s="1"/>
      <c r="P172" s="1"/>
      <c r="Q172" s="1"/>
      <c r="R172" s="1"/>
      <c r="S172" s="1"/>
      <c r="AC172" t="s">
        <v>388</v>
      </c>
      <c r="AD172" t="s">
        <v>389</v>
      </c>
      <c r="AE172" t="s">
        <v>390</v>
      </c>
      <c r="AF172" t="s">
        <v>391</v>
      </c>
      <c r="AH172" t="str">
        <f>IF($E$172=0,"",$E$172)</f>
        <v>Тариф на транспортировку сточных вод</v>
      </c>
      <c r="AI172" t="str">
        <f>IF($G$172=0,"",$G$172)</f>
        <v/>
      </c>
      <c r="AJ172" t="str">
        <f>IF($J$172=0,"",$J$172)</f>
        <v/>
      </c>
      <c r="AK172" t="str">
        <f>IF($K$172="нет","без дифференциации",IF($N$172=0,"",$N$172))</f>
        <v/>
      </c>
      <c r="AL172" t="str">
        <f>IF($O$172="нет","без дифференциации",IF($R$172=0,"",$R$172))</f>
        <v/>
      </c>
      <c r="AM172" t="str">
        <f>IF($S$172="нет","без дифференциации",IF($V$172=0,"",$V$172))</f>
        <v/>
      </c>
      <c r="AN172">
        <f>$I$172</f>
        <v>0</v>
      </c>
      <c r="AO172" t="str">
        <f>$I$172&amp;"."&amp;$M$172</f>
        <v>.</v>
      </c>
      <c r="AP172" t="str">
        <f>$I$172&amp;"."&amp;$M$172&amp;"."&amp;$Q$172</f>
        <v>..</v>
      </c>
      <c r="AQ172" t="str">
        <f>$I$172&amp;"."&amp;$M$172&amp;"."&amp;$Q$172&amp;"."&amp;$U$172</f>
        <v>...</v>
      </c>
      <c r="AR172">
        <v>0</v>
      </c>
    </row>
    <row r="173" spans="4:44" ht="17.25" customHeight="1" x14ac:dyDescent="0.15">
      <c r="D173" s="1"/>
      <c r="E173" s="1"/>
      <c r="F173" s="1"/>
      <c r="G173" s="1"/>
      <c r="H173" s="1"/>
      <c r="I173" s="1"/>
      <c r="J173" s="1"/>
      <c r="K173" s="1"/>
      <c r="L173" s="1"/>
      <c r="M173" s="1"/>
      <c r="N173" s="1"/>
      <c r="O173" s="1"/>
      <c r="P173" s="1"/>
      <c r="Q173" s="1"/>
      <c r="R173" s="1"/>
      <c r="S173" s="1"/>
      <c r="AR173">
        <v>0</v>
      </c>
    </row>
    <row r="174" spans="4:44" ht="17.25" customHeight="1" x14ac:dyDescent="0.15">
      <c r="D174" s="1"/>
      <c r="E174" s="1"/>
      <c r="F174" s="1"/>
      <c r="G174" s="1"/>
      <c r="H174" s="1"/>
      <c r="I174" s="1"/>
      <c r="J174" s="1"/>
      <c r="K174" s="1"/>
      <c r="L174" s="1"/>
      <c r="M174" s="1"/>
      <c r="N174" s="1"/>
      <c r="O174" s="1"/>
      <c r="AR174">
        <v>0</v>
      </c>
    </row>
    <row r="175" spans="4:44" ht="17.25" customHeight="1" x14ac:dyDescent="0.15">
      <c r="D175" s="1"/>
      <c r="E175" s="1"/>
      <c r="F175" s="1"/>
      <c r="G175" s="1"/>
      <c r="H175" s="1"/>
      <c r="I175" s="1"/>
      <c r="J175" s="1"/>
      <c r="K175" s="1"/>
      <c r="AR175">
        <v>0</v>
      </c>
    </row>
    <row r="176" spans="4:44" ht="17.25" customHeight="1" x14ac:dyDescent="0.15">
      <c r="D176" s="1"/>
      <c r="E176" s="1"/>
      <c r="F176" s="1"/>
      <c r="G176" s="1"/>
      <c r="AR176">
        <v>0</v>
      </c>
    </row>
    <row r="177" spans="1:44" ht="17.25" customHeight="1" x14ac:dyDescent="0.15">
      <c r="D177" s="1">
        <v>3</v>
      </c>
      <c r="E177" s="1" t="s">
        <v>392</v>
      </c>
      <c r="F177" s="1" t="s">
        <v>19</v>
      </c>
      <c r="G177" s="1"/>
      <c r="H177" s="1"/>
      <c r="I177" s="1"/>
      <c r="J177" s="1"/>
      <c r="K177" s="1"/>
      <c r="L177" s="1"/>
      <c r="M177" s="1"/>
      <c r="N177" s="1"/>
      <c r="O177" s="1"/>
      <c r="P177" s="1"/>
      <c r="Q177" s="1"/>
      <c r="R177" s="1"/>
      <c r="S177" s="1"/>
      <c r="AC177" t="s">
        <v>393</v>
      </c>
      <c r="AD177" t="s">
        <v>394</v>
      </c>
      <c r="AE177" t="s">
        <v>395</v>
      </c>
      <c r="AF177" t="s">
        <v>396</v>
      </c>
      <c r="AH177" t="str">
        <f>IF($E$177=0,"",$E$177)</f>
        <v>Тариф на подключение (технологическое присоединение) к централизованной системе водоотведения</v>
      </c>
      <c r="AI177" t="str">
        <f>IF($G$177=0,"",$G$177)</f>
        <v/>
      </c>
      <c r="AJ177" t="str">
        <f>IF($J$177=0,"",$J$177)</f>
        <v/>
      </c>
      <c r="AK177" t="str">
        <f>IF($K$177="нет","без дифференциации",IF($N$177=0,"",$N$177))</f>
        <v/>
      </c>
      <c r="AL177" t="str">
        <f>IF($O$177="нет","без дифференциации",IF($R$177=0,"",$R$177))</f>
        <v/>
      </c>
      <c r="AM177" t="str">
        <f>IF($S$177="нет","без дифференциации",IF($V$177=0,"",$V$177))</f>
        <v/>
      </c>
      <c r="AN177">
        <f>$I$177</f>
        <v>0</v>
      </c>
      <c r="AO177" t="str">
        <f>$I$177&amp;"."&amp;$M$177</f>
        <v>.</v>
      </c>
      <c r="AP177" t="str">
        <f>$I$177&amp;"."&amp;$M$177&amp;"."&amp;$Q$177</f>
        <v>..</v>
      </c>
      <c r="AQ177" t="str">
        <f>$I$177&amp;"."&amp;$M$177&amp;"."&amp;$Q$177&amp;"."&amp;$U$177</f>
        <v>...</v>
      </c>
      <c r="AR177">
        <v>0</v>
      </c>
    </row>
    <row r="178" spans="1:44" ht="17.25" customHeight="1" x14ac:dyDescent="0.15">
      <c r="D178" s="1"/>
      <c r="E178" s="1"/>
      <c r="F178" s="1"/>
      <c r="G178" s="1"/>
      <c r="H178" s="1"/>
      <c r="I178" s="1"/>
      <c r="J178" s="1"/>
      <c r="K178" s="1"/>
      <c r="L178" s="1"/>
      <c r="M178" s="1"/>
      <c r="N178" s="1"/>
      <c r="O178" s="1"/>
      <c r="P178" s="1"/>
      <c r="Q178" s="1"/>
      <c r="R178" s="1"/>
      <c r="S178" s="1"/>
      <c r="AR178">
        <v>0</v>
      </c>
    </row>
    <row r="179" spans="1:44" ht="17.25" customHeight="1" x14ac:dyDescent="0.15">
      <c r="D179" s="1"/>
      <c r="E179" s="1"/>
      <c r="F179" s="1"/>
      <c r="G179" s="1"/>
      <c r="H179" s="1"/>
      <c r="I179" s="1"/>
      <c r="J179" s="1"/>
      <c r="K179" s="1"/>
      <c r="L179" s="1"/>
      <c r="M179" s="1"/>
      <c r="N179" s="1"/>
      <c r="O179" s="1"/>
      <c r="AR179">
        <v>0</v>
      </c>
    </row>
    <row r="180" spans="1:44" ht="17.25" customHeight="1" x14ac:dyDescent="0.15">
      <c r="D180" s="1"/>
      <c r="E180" s="1"/>
      <c r="F180" s="1"/>
      <c r="G180" s="1"/>
      <c r="H180" s="1"/>
      <c r="I180" s="1"/>
      <c r="J180" s="1"/>
      <c r="K180" s="1"/>
      <c r="AR180">
        <v>0</v>
      </c>
    </row>
    <row r="181" spans="1:44" ht="17.25" customHeight="1" x14ac:dyDescent="0.15">
      <c r="D181" s="1"/>
      <c r="E181" s="1"/>
      <c r="F181" s="1"/>
      <c r="G181" s="1"/>
      <c r="AR181">
        <v>0</v>
      </c>
    </row>
    <row r="182" spans="1:44" ht="11.45" customHeight="1" x14ac:dyDescent="0.15">
      <c r="AR182">
        <v>11</v>
      </c>
    </row>
    <row r="183" spans="1:44" ht="11.45" customHeight="1" x14ac:dyDescent="0.15">
      <c r="AR183">
        <v>11</v>
      </c>
    </row>
    <row r="184" spans="1:44" ht="11.45" customHeight="1" x14ac:dyDescent="0.15">
      <c r="AR184">
        <v>11</v>
      </c>
    </row>
    <row r="185" spans="1:44" ht="11.45" customHeight="1" x14ac:dyDescent="0.15">
      <c r="AR185">
        <v>11</v>
      </c>
    </row>
    <row r="186" spans="1:44" ht="11.45" customHeight="1" x14ac:dyDescent="0.15">
      <c r="AR186">
        <v>11</v>
      </c>
    </row>
    <row r="187" spans="1:44" ht="11.45" customHeight="1" x14ac:dyDescent="0.15">
      <c r="AR187">
        <v>11</v>
      </c>
    </row>
    <row r="188" spans="1:44" ht="11.45" customHeight="1" x14ac:dyDescent="0.15">
      <c r="AR188">
        <v>11</v>
      </c>
    </row>
    <row r="189" spans="1:44" ht="11.45" customHeight="1" x14ac:dyDescent="0.15">
      <c r="AR189">
        <v>11</v>
      </c>
    </row>
    <row r="190" spans="1:44" ht="11.45" customHeight="1" x14ac:dyDescent="0.15">
      <c r="AR190">
        <v>11</v>
      </c>
    </row>
    <row r="191" spans="1:44" ht="11.45" customHeight="1" x14ac:dyDescent="0.15">
      <c r="AR191">
        <v>11</v>
      </c>
    </row>
    <row r="192" spans="1:44" ht="11.25" hidden="1" customHeight="1" x14ac:dyDescent="0.15">
      <c r="A192" t="s">
        <v>84</v>
      </c>
      <c r="B192">
        <v>0</v>
      </c>
      <c r="C192">
        <v>3</v>
      </c>
      <c r="D192">
        <v>6</v>
      </c>
      <c r="E192">
        <v>42</v>
      </c>
      <c r="F192">
        <v>14</v>
      </c>
      <c r="G192">
        <v>42</v>
      </c>
      <c r="H192">
        <v>3</v>
      </c>
      <c r="I192">
        <v>5</v>
      </c>
      <c r="J192">
        <v>47</v>
      </c>
      <c r="K192">
        <v>3</v>
      </c>
      <c r="L192">
        <v>3</v>
      </c>
      <c r="M192">
        <v>5</v>
      </c>
      <c r="N192">
        <v>28</v>
      </c>
      <c r="O192">
        <v>3</v>
      </c>
      <c r="P192">
        <v>3</v>
      </c>
      <c r="Q192">
        <v>5</v>
      </c>
      <c r="R192">
        <v>34</v>
      </c>
      <c r="S192">
        <v>0</v>
      </c>
      <c r="T192">
        <v>0</v>
      </c>
      <c r="U192">
        <v>0</v>
      </c>
      <c r="V192">
        <v>0</v>
      </c>
      <c r="W192">
        <v>30</v>
      </c>
      <c r="X192">
        <v>3</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11</v>
      </c>
    </row>
  </sheetData>
  <sheetProtection formatColumns="0" formatRows="0" insertRows="0" deleteColumns="0" deleteRows="0" sort="0" autoFilter="0"/>
  <mergeCells count="513">
    <mergeCell ref="L165:L169"/>
    <mergeCell ref="M165:M169"/>
    <mergeCell ref="N165:N169"/>
    <mergeCell ref="O165:O169"/>
    <mergeCell ref="P165:P166"/>
    <mergeCell ref="Q165:Q166"/>
    <mergeCell ref="R165:R166"/>
    <mergeCell ref="S165:S166"/>
    <mergeCell ref="W165:W166"/>
    <mergeCell ref="P167:P168"/>
    <mergeCell ref="Q167:Q168"/>
    <mergeCell ref="R167:R168"/>
    <mergeCell ref="S167:S168"/>
    <mergeCell ref="W167:W168"/>
    <mergeCell ref="L162:L164"/>
    <mergeCell ref="M162:M164"/>
    <mergeCell ref="N162:N164"/>
    <mergeCell ref="O162:O164"/>
    <mergeCell ref="P162:P163"/>
    <mergeCell ref="Q162:Q163"/>
    <mergeCell ref="R162:R163"/>
    <mergeCell ref="S162:S163"/>
    <mergeCell ref="W162:W163"/>
    <mergeCell ref="L159:L161"/>
    <mergeCell ref="M159:M161"/>
    <mergeCell ref="N159:N161"/>
    <mergeCell ref="O159:O161"/>
    <mergeCell ref="P159:P160"/>
    <mergeCell ref="Q159:Q160"/>
    <mergeCell ref="R159:R160"/>
    <mergeCell ref="S159:S160"/>
    <mergeCell ref="W159:W160"/>
    <mergeCell ref="L156:L158"/>
    <mergeCell ref="M156:M158"/>
    <mergeCell ref="N156:N158"/>
    <mergeCell ref="O156:O158"/>
    <mergeCell ref="P156:P157"/>
    <mergeCell ref="Q156:Q157"/>
    <mergeCell ref="R156:R157"/>
    <mergeCell ref="S156:S157"/>
    <mergeCell ref="W156:W157"/>
    <mergeCell ref="O150:O152"/>
    <mergeCell ref="P150:P151"/>
    <mergeCell ref="Q150:Q151"/>
    <mergeCell ref="R150:R151"/>
    <mergeCell ref="S150:S151"/>
    <mergeCell ref="W150:W151"/>
    <mergeCell ref="L153:L155"/>
    <mergeCell ref="M153:M155"/>
    <mergeCell ref="N153:N155"/>
    <mergeCell ref="O153:O155"/>
    <mergeCell ref="P153:P154"/>
    <mergeCell ref="Q153:Q154"/>
    <mergeCell ref="R153:R154"/>
    <mergeCell ref="S153:S154"/>
    <mergeCell ref="W153:W154"/>
    <mergeCell ref="S144:S145"/>
    <mergeCell ref="W144:W145"/>
    <mergeCell ref="L147:L149"/>
    <mergeCell ref="M147:M149"/>
    <mergeCell ref="N147:N149"/>
    <mergeCell ref="O147:O149"/>
    <mergeCell ref="P147:P148"/>
    <mergeCell ref="Q147:Q148"/>
    <mergeCell ref="R147:R148"/>
    <mergeCell ref="S147:S148"/>
    <mergeCell ref="W147:W148"/>
    <mergeCell ref="S136:S137"/>
    <mergeCell ref="W136:W137"/>
    <mergeCell ref="P138:P139"/>
    <mergeCell ref="Q138:Q139"/>
    <mergeCell ref="R138:R139"/>
    <mergeCell ref="S138:S139"/>
    <mergeCell ref="W138:W139"/>
    <mergeCell ref="L141:L143"/>
    <mergeCell ref="M141:M143"/>
    <mergeCell ref="N141:N143"/>
    <mergeCell ref="O141:O143"/>
    <mergeCell ref="P141:P142"/>
    <mergeCell ref="Q141:Q142"/>
    <mergeCell ref="R141:R142"/>
    <mergeCell ref="S141:S142"/>
    <mergeCell ref="W141:W142"/>
    <mergeCell ref="S127:S128"/>
    <mergeCell ref="W127:W128"/>
    <mergeCell ref="L130:L140"/>
    <mergeCell ref="M130:M140"/>
    <mergeCell ref="N130:N140"/>
    <mergeCell ref="O130:O140"/>
    <mergeCell ref="P130:P131"/>
    <mergeCell ref="Q130:Q131"/>
    <mergeCell ref="R130:R131"/>
    <mergeCell ref="S130:S131"/>
    <mergeCell ref="W130:W131"/>
    <mergeCell ref="P132:P133"/>
    <mergeCell ref="Q132:Q133"/>
    <mergeCell ref="R132:R133"/>
    <mergeCell ref="S132:S133"/>
    <mergeCell ref="W132:W133"/>
    <mergeCell ref="P134:P135"/>
    <mergeCell ref="Q134:Q135"/>
    <mergeCell ref="R134:R135"/>
    <mergeCell ref="S134:S135"/>
    <mergeCell ref="W134:W135"/>
    <mergeCell ref="P136:P137"/>
    <mergeCell ref="Q136:Q137"/>
    <mergeCell ref="R136:R137"/>
    <mergeCell ref="S121:S122"/>
    <mergeCell ref="H121:H170"/>
    <mergeCell ref="I121:I170"/>
    <mergeCell ref="J121:J170"/>
    <mergeCell ref="K121:K170"/>
    <mergeCell ref="L121:L123"/>
    <mergeCell ref="W121:W122"/>
    <mergeCell ref="O121:O123"/>
    <mergeCell ref="P121:P122"/>
    <mergeCell ref="Q121:Q122"/>
    <mergeCell ref="R121:R122"/>
    <mergeCell ref="L124:L126"/>
    <mergeCell ref="M124:M126"/>
    <mergeCell ref="N124:N126"/>
    <mergeCell ref="O124:O126"/>
    <mergeCell ref="P124:P125"/>
    <mergeCell ref="Q124:Q125"/>
    <mergeCell ref="R124:R125"/>
    <mergeCell ref="S124:S125"/>
    <mergeCell ref="W124:W125"/>
    <mergeCell ref="L127:L129"/>
    <mergeCell ref="M127:M129"/>
    <mergeCell ref="N127:N129"/>
    <mergeCell ref="O127:O12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71"/>
    <mergeCell ref="F121:F171"/>
    <mergeCell ref="G121:G171"/>
    <mergeCell ref="M110:M112"/>
    <mergeCell ref="N110:N112"/>
    <mergeCell ref="O110:O112"/>
    <mergeCell ref="P110:P111"/>
    <mergeCell ref="Q110:Q111"/>
    <mergeCell ref="R110:R111"/>
    <mergeCell ref="M121:M123"/>
    <mergeCell ref="N121:N123"/>
    <mergeCell ref="P127:P128"/>
    <mergeCell ref="Q127:Q128"/>
    <mergeCell ref="R127:R128"/>
    <mergeCell ref="L144:L146"/>
    <mergeCell ref="M144:M146"/>
    <mergeCell ref="N144:N146"/>
    <mergeCell ref="O144:O146"/>
    <mergeCell ref="P144:P145"/>
    <mergeCell ref="Q144:Q145"/>
    <mergeCell ref="R144:R145"/>
    <mergeCell ref="L150:L152"/>
    <mergeCell ref="M150:M152"/>
    <mergeCell ref="N150:N152"/>
    <mergeCell ref="F99:F103"/>
    <mergeCell ref="G99:G103"/>
    <mergeCell ref="H99:H102"/>
    <mergeCell ref="I99:I102"/>
    <mergeCell ref="J99:J102"/>
    <mergeCell ref="K99:K102"/>
    <mergeCell ref="L99:L101"/>
    <mergeCell ref="S172:S173"/>
    <mergeCell ref="D172:D176"/>
    <mergeCell ref="E172:E176"/>
    <mergeCell ref="F172:F176"/>
    <mergeCell ref="G172:G176"/>
    <mergeCell ref="H172:H175"/>
    <mergeCell ref="I172:I175"/>
    <mergeCell ref="J172:J175"/>
    <mergeCell ref="K172:K175"/>
    <mergeCell ref="L172:L174"/>
    <mergeCell ref="M172:M174"/>
    <mergeCell ref="N172:N174"/>
    <mergeCell ref="O172:O174"/>
    <mergeCell ref="P172:P173"/>
    <mergeCell ref="Q172:Q173"/>
    <mergeCell ref="R172:R173"/>
    <mergeCell ref="D121:D171"/>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77:M179"/>
    <mergeCell ref="N177:N179"/>
    <mergeCell ref="O177:O179"/>
    <mergeCell ref="P177:P178"/>
    <mergeCell ref="Q177:Q178"/>
    <mergeCell ref="R177:R178"/>
    <mergeCell ref="S177:S178"/>
    <mergeCell ref="D177:D181"/>
    <mergeCell ref="E177:E181"/>
    <mergeCell ref="F177:F181"/>
    <mergeCell ref="G177:G181"/>
    <mergeCell ref="H177:H180"/>
    <mergeCell ref="I177:I180"/>
    <mergeCell ref="J177:J180"/>
    <mergeCell ref="K177:K180"/>
    <mergeCell ref="L177:L179"/>
    <mergeCell ref="R23:R24"/>
    <mergeCell ref="S23:S24"/>
    <mergeCell ref="G23:G27"/>
    <mergeCell ref="H23:H26"/>
    <mergeCell ref="I23:I26"/>
    <mergeCell ref="J23:J26"/>
    <mergeCell ref="K23:K26"/>
    <mergeCell ref="L23:L25"/>
    <mergeCell ref="M23:M25"/>
    <mergeCell ref="N23:N25"/>
    <mergeCell ref="O23:O25"/>
  </mergeCells>
  <dataValidations count="3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77:O178 O105:O106 S105:S106 O110:O111 S110:S111 K105:K106 K110:K111 S99:S100 K172:K173 O172:O173 S172:S173 O115:O116 O58:O59 S58:S59 K58:K59 K63:K64 O63:O64 S63:S64 F79:F103 K99:K100 O99:O100 F105:F119 S115:S116 K115:K116 F121:F122 F123 F170:F181 S177:S178 K177:K178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72:J173 R172:R173 V172:W172 J58:J59 R58:R59 V58:W58 J63:J64 R63:R64 V63:W63 J99:J100 R99:R100 V99:W99 J115:J116 R115:R116 V115:W115 J177:J178 R177:R178 V177:W177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72:N174 N58:N60 N63:N65 N99:N101 N115:N117 N177:N179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2 G123 G170:G181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O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O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V136">
      <formula1>900</formula1>
    </dataValidation>
    <dataValidation type="textLength" operator="lessThanOrEqual" allowBlank="1" showInputMessage="1" showErrorMessage="1" errorTitle="Ошибка" error="Допускается ввод не более 900 символов!" sqref="W136">
      <formula1>900</formula1>
    </dataValidation>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O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V138">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O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V150">
      <formula1>900</formula1>
    </dataValidation>
    <dataValidation type="textLength" operator="lessThanOrEqual" allowBlank="1" showInputMessage="1" showErrorMessage="1" errorTitle="Ошибка" error="Допускается ввод не более 900 символов!" sqref="W150">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O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type="textLength" operator="lessThanOrEqual" allowBlank="1" showInputMessage="1" showErrorMessage="1" errorTitle="Ошибка" error="Допускается ввод не более 900 символов!" sqref="V153">
      <formula1>900</formula1>
    </dataValidation>
    <dataValidation type="textLength" operator="lessThanOrEqual" allowBlank="1" showInputMessage="1" showErrorMessage="1" errorTitle="Ошибка" error="Допускается ввод не более 900 символов!" sqref="W153">
      <formula1>900</formula1>
    </dataValidation>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Для выбора выполните двойной щелчок левой клавиши мыши по соответствующей ячейке." sqref="O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Для выбора выполните двойной щелчок левой клавиши мыши по соответствующей ячейке." sqref="S159"/>
    <dataValidation type="textLength" operator="lessThanOrEqual" allowBlank="1" showInputMessage="1" showErrorMessage="1" errorTitle="Ошибка" error="Допускается ввод не более 900 символов!" sqref="V159">
      <formula1>900</formula1>
    </dataValidation>
    <dataValidation type="textLength" operator="lessThanOrEqual" allowBlank="1" showInputMessage="1" showErrorMessage="1" errorTitle="Ошибка" error="Допускается ввод не более 900 символов!" sqref="W159">
      <formula1>900</formula1>
    </dataValidation>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O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V162">
      <formula1>900</formula1>
    </dataValidation>
    <dataValidation type="textLength" operator="lessThanOrEqual" allowBlank="1" showInputMessage="1" showErrorMessage="1" errorTitle="Ошибка" error="Допускается ввод не более 900 символов!" sqref="W162">
      <formula1>900</formula1>
    </dataValidation>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O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V165">
      <formula1>900</formula1>
    </dataValidation>
    <dataValidation type="textLength" operator="lessThanOrEqual" allowBlank="1" showInputMessage="1" showErrorMessage="1" errorTitle="Ошибка" error="Допускается ввод не более 900 символов!" sqref="W165">
      <formula1>900</formula1>
    </dataValidation>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type="textLength" operator="lessThanOrEqual" allowBlank="1" showInputMessage="1" showErrorMessage="1" errorTitle="Ошибка" error="Допускается ввод не более 900 символов!" sqref="J1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Для выбора выполните двойной щелчок левой клавиши мыши по соответствующей ячейке." sqref="O167"/>
    <dataValidation type="textLength" operator="lessThanOrEqual" allowBlank="1" showInputMessage="1" showErrorMessage="1" errorTitle="Ошибка" error="Допускается ввод не более 900 символов!" sqref="R167">
      <formula1>900</formula1>
    </dataValidation>
    <dataValidation allowBlank="1" showInputMessage="1" showErrorMessage="1" prompt="Для выбора выполните двойной щелчок левой клавиши мыши по соответствующей ячейке." sqref="S167"/>
    <dataValidation type="textLength" operator="lessThanOrEqual" allowBlank="1" showInputMessage="1" showErrorMessage="1" errorTitle="Ошибка" error="Допускается ввод не более 900 символов!" sqref="V167">
      <formula1>900</formula1>
    </dataValidation>
    <dataValidation type="textLength" operator="lessThanOrEqual" allowBlank="1" showInputMessage="1" showErrorMessage="1" errorTitle="Ошибка" error="Допускается ввод не более 900 символов!" sqref="W167">
      <formula1>900</formula1>
    </dataValidation>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type="textLength" operator="lessThanOrEqual" allowBlank="1" showInputMessage="1" showErrorMessage="1" errorTitle="Ошибка" error="Допускается ввод не более 900 символов!" sqref="J1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type="textLength" operator="lessThanOrEqual" allowBlank="1" showInputMessage="1" showErrorMessage="1" errorTitle="Ошибка" error="Допускается ввод не более 900 символов!" sqref="R168">
      <formula1>900</formula1>
    </dataValidation>
    <dataValidation allowBlank="1" showInputMessage="1" showErrorMessage="1" prompt="Для выбора выполните двойной щелчок левой клавиши мыши по соответствующей ячейке." sqref="S16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x14ac:dyDescent="0.15"/>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64" width="8" customWidth="1"/>
    <col min="65" max="65" width="9.140625" hidden="1"/>
  </cols>
  <sheetData>
    <row r="1" spans="4:65" ht="11.25" hidden="1" customHeight="1" x14ac:dyDescent="0.15">
      <c r="BM1" t="s">
        <v>14</v>
      </c>
    </row>
    <row r="2" spans="4:65" ht="11.25" hidden="1" customHeight="1" x14ac:dyDescent="0.15">
      <c r="L2" t="s">
        <v>397</v>
      </c>
      <c r="M2" t="s">
        <v>398</v>
      </c>
      <c r="R2" t="s">
        <v>399</v>
      </c>
      <c r="S2" t="s">
        <v>398</v>
      </c>
      <c r="X2" t="s">
        <v>397</v>
      </c>
      <c r="Y2" t="s">
        <v>398</v>
      </c>
      <c r="AD2" t="s">
        <v>397</v>
      </c>
      <c r="AE2" t="s">
        <v>398</v>
      </c>
      <c r="BM2">
        <v>0</v>
      </c>
    </row>
    <row r="3" spans="4:65" ht="11.45" customHeight="1" x14ac:dyDescent="0.15">
      <c r="BM3">
        <v>11</v>
      </c>
    </row>
    <row r="4" spans="4:65" ht="34.5" customHeight="1" x14ac:dyDescent="0.15">
      <c r="D4" s="1" t="s">
        <v>400</v>
      </c>
      <c r="E4" s="1"/>
      <c r="F4" s="1"/>
      <c r="G4" s="1"/>
      <c r="H4" s="1"/>
      <c r="I4" s="1"/>
      <c r="J4" s="1"/>
      <c r="BM4">
        <v>33</v>
      </c>
    </row>
    <row r="5" spans="4:65" ht="14.65" customHeight="1" x14ac:dyDescent="0.15">
      <c r="D5" s="1" t="str">
        <f>IF(org=0,"Не определено",org)</f>
        <v>КГУП "Примтеплоэнерго"</v>
      </c>
      <c r="E5" s="1"/>
      <c r="F5" s="1"/>
      <c r="G5" s="1"/>
      <c r="H5" s="1"/>
      <c r="I5" s="1"/>
      <c r="J5" s="1"/>
      <c r="BM5">
        <v>14</v>
      </c>
    </row>
    <row r="6" spans="4:65" ht="14.65" customHeight="1" x14ac:dyDescent="0.15">
      <c r="BM6">
        <v>14</v>
      </c>
    </row>
    <row r="7" spans="4:65" ht="1.1499999999999999" customHeight="1" x14ac:dyDescent="0.15">
      <c r="BM7">
        <v>1</v>
      </c>
    </row>
    <row r="8" spans="4:65" ht="33.75" customHeight="1" x14ac:dyDescent="0.15">
      <c r="D8" s="1" t="s">
        <v>90</v>
      </c>
      <c r="E8" s="1" t="s">
        <v>165</v>
      </c>
      <c r="F8" s="1" t="s">
        <v>178</v>
      </c>
      <c r="G8" s="1"/>
      <c r="H8" s="1" t="s">
        <v>90</v>
      </c>
      <c r="I8" s="1"/>
      <c r="J8" s="1" t="s">
        <v>179</v>
      </c>
      <c r="L8" s="1" t="s">
        <v>401</v>
      </c>
      <c r="M8" s="1"/>
      <c r="N8" s="1"/>
      <c r="O8" s="1"/>
      <c r="P8" s="1"/>
      <c r="R8" s="1" t="s">
        <v>402</v>
      </c>
      <c r="S8" s="1"/>
      <c r="T8" s="1"/>
      <c r="U8" s="1"/>
      <c r="V8" s="1"/>
      <c r="X8" s="1" t="s">
        <v>403</v>
      </c>
      <c r="Y8" s="1"/>
      <c r="Z8" s="1"/>
      <c r="AA8" s="1"/>
      <c r="AB8" s="1"/>
      <c r="AD8" s="1" t="s">
        <v>404</v>
      </c>
      <c r="AE8" s="1"/>
      <c r="AF8" s="1"/>
      <c r="AG8" s="1"/>
      <c r="AH8" s="1"/>
      <c r="AI8" s="1" t="s">
        <v>405</v>
      </c>
      <c r="BM8">
        <v>32</v>
      </c>
    </row>
    <row r="9" spans="4:65" ht="23.25" customHeight="1" x14ac:dyDescent="0.15">
      <c r="D9" s="1"/>
      <c r="E9" s="1"/>
      <c r="F9" s="1" t="s">
        <v>91</v>
      </c>
      <c r="G9" s="1" t="s">
        <v>184</v>
      </c>
      <c r="H9" s="1"/>
      <c r="I9" s="1"/>
      <c r="J9" s="1"/>
      <c r="L9" s="1" t="s">
        <v>406</v>
      </c>
      <c r="M9" s="1"/>
      <c r="N9" s="1" t="s">
        <v>90</v>
      </c>
      <c r="O9" s="1"/>
      <c r="P9" s="1" t="s">
        <v>185</v>
      </c>
      <c r="R9" s="1" t="s">
        <v>406</v>
      </c>
      <c r="S9" s="1"/>
      <c r="T9" s="1" t="s">
        <v>90</v>
      </c>
      <c r="U9" s="1"/>
      <c r="V9" s="1" t="s">
        <v>185</v>
      </c>
      <c r="X9" s="1" t="s">
        <v>406</v>
      </c>
      <c r="Y9" s="1"/>
      <c r="Z9" s="1" t="s">
        <v>90</v>
      </c>
      <c r="AA9" s="1"/>
      <c r="AB9" s="1" t="s">
        <v>407</v>
      </c>
      <c r="AD9" s="1" t="s">
        <v>406</v>
      </c>
      <c r="AE9" s="1"/>
      <c r="AF9" s="1" t="s">
        <v>90</v>
      </c>
      <c r="AG9" s="1"/>
      <c r="AH9" s="1" t="s">
        <v>407</v>
      </c>
      <c r="AI9" s="1"/>
      <c r="BM9">
        <v>22</v>
      </c>
    </row>
    <row r="10" spans="4:65" ht="24" customHeight="1" x14ac:dyDescent="0.15">
      <c r="D10" s="1"/>
      <c r="E10" s="1"/>
      <c r="F10" s="1"/>
      <c r="G10" s="1"/>
      <c r="H10" s="1"/>
      <c r="I10" s="1"/>
      <c r="J10" s="1"/>
      <c r="L10" t="s">
        <v>408</v>
      </c>
      <c r="M10" t="s">
        <v>409</v>
      </c>
      <c r="N10" s="1"/>
      <c r="O10" s="1"/>
      <c r="P10" s="1"/>
      <c r="R10" t="s">
        <v>408</v>
      </c>
      <c r="S10" t="s">
        <v>409</v>
      </c>
      <c r="T10" s="1"/>
      <c r="U10" s="1"/>
      <c r="V10" s="1"/>
      <c r="X10" t="s">
        <v>408</v>
      </c>
      <c r="Y10" t="s">
        <v>409</v>
      </c>
      <c r="Z10" s="1"/>
      <c r="AA10" s="1"/>
      <c r="AB10" s="1"/>
      <c r="AD10" t="s">
        <v>408</v>
      </c>
      <c r="AE10" t="s">
        <v>409</v>
      </c>
      <c r="AF10" s="1"/>
      <c r="AG10" s="1"/>
      <c r="AH10" s="1"/>
      <c r="AI10" s="1"/>
      <c r="AK10" t="s">
        <v>410</v>
      </c>
      <c r="AL10" t="s">
        <v>186</v>
      </c>
      <c r="BM10">
        <v>23</v>
      </c>
    </row>
    <row r="11" spans="4:65" ht="15" customHeight="1" x14ac:dyDescent="0.15">
      <c r="D11" s="1" t="s">
        <v>101</v>
      </c>
      <c r="E11" s="1" t="s">
        <v>411</v>
      </c>
      <c r="F11" s="1" t="s">
        <v>412</v>
      </c>
      <c r="G11" s="1" t="s">
        <v>19</v>
      </c>
      <c r="I11" s="1"/>
      <c r="J11" s="1"/>
      <c r="L11" s="1"/>
      <c r="M11" s="1"/>
      <c r="O11" s="1"/>
      <c r="P11" s="1"/>
      <c r="R11" s="1"/>
      <c r="S11" s="1"/>
      <c r="U11" s="1"/>
      <c r="V11" s="1"/>
      <c r="X11" s="1"/>
      <c r="Y11" s="1"/>
      <c r="AA11" s="1"/>
      <c r="AB11" s="1"/>
      <c r="AD11" s="1"/>
      <c r="AE11" s="1"/>
      <c r="BM11">
        <v>14</v>
      </c>
    </row>
    <row r="12" spans="4:65" ht="14.65" customHeight="1" x14ac:dyDescent="0.15">
      <c r="D12" s="1"/>
      <c r="E12" s="1"/>
      <c r="F12" s="1"/>
      <c r="G12" s="1"/>
      <c r="I12" s="1"/>
      <c r="J12" s="1"/>
      <c r="L12" s="1"/>
      <c r="M12" s="1"/>
      <c r="O12" s="1"/>
      <c r="P12" s="1"/>
      <c r="R12" s="1"/>
      <c r="S12" s="1"/>
      <c r="U12" s="1"/>
      <c r="V12" s="1"/>
      <c r="X12" s="1"/>
      <c r="Y12" s="1"/>
      <c r="AA12" s="1"/>
      <c r="AB12" s="1"/>
      <c r="AD12" s="1"/>
      <c r="AE12" s="1"/>
      <c r="AH12" s="1"/>
      <c r="AI12" s="1"/>
      <c r="BM12">
        <v>14</v>
      </c>
    </row>
    <row r="13" spans="4:65" ht="14.65" customHeight="1" x14ac:dyDescent="0.15">
      <c r="D13" s="1"/>
      <c r="E13" s="1"/>
      <c r="F13" s="1"/>
      <c r="G13" s="1"/>
      <c r="I13" s="1"/>
      <c r="J13" s="1"/>
      <c r="L13" s="1"/>
      <c r="M13" s="1"/>
      <c r="O13" s="1"/>
      <c r="P13" s="1"/>
      <c r="R13" s="1"/>
      <c r="S13" s="1"/>
      <c r="U13" s="1"/>
      <c r="V13" s="1"/>
      <c r="X13" s="1"/>
      <c r="Y13" s="1"/>
      <c r="AB13" s="1"/>
      <c r="AC13" s="1"/>
      <c r="AD13" s="1"/>
      <c r="AE13" s="1"/>
      <c r="AF13" s="1"/>
      <c r="AG13" s="1"/>
      <c r="AH13" s="1"/>
      <c r="AI13" s="1"/>
      <c r="BM13">
        <v>14</v>
      </c>
    </row>
    <row r="14" spans="4:65" ht="14.65" customHeight="1" x14ac:dyDescent="0.15">
      <c r="D14" s="1"/>
      <c r="E14" s="1"/>
      <c r="F14" s="1"/>
      <c r="G14" s="1"/>
      <c r="I14" s="1"/>
      <c r="J14" s="1"/>
      <c r="L14" s="1"/>
      <c r="M14" s="1"/>
      <c r="O14" s="1"/>
      <c r="P14" s="1"/>
      <c r="R14" s="1"/>
      <c r="S14" s="1"/>
      <c r="V14" s="1"/>
      <c r="W14" s="1"/>
      <c r="X14" s="1"/>
      <c r="Y14" s="1"/>
      <c r="Z14" s="1"/>
      <c r="AA14" s="1"/>
      <c r="AB14" s="1"/>
      <c r="AC14" s="1"/>
      <c r="AD14" s="1"/>
      <c r="AE14" s="1"/>
      <c r="AF14" s="1"/>
      <c r="AG14" s="1"/>
      <c r="AH14" s="1"/>
      <c r="AI14" s="1"/>
      <c r="BM14">
        <v>14</v>
      </c>
    </row>
    <row r="15" spans="4:65" ht="11.45" customHeight="1" x14ac:dyDescent="0.15">
      <c r="D15" s="1"/>
      <c r="E15" s="1"/>
      <c r="F15" s="1"/>
      <c r="G15" s="1"/>
      <c r="I15" s="1"/>
      <c r="J15" s="1"/>
      <c r="L15" s="1"/>
      <c r="M15" s="1"/>
      <c r="P15" s="1"/>
      <c r="Q15" s="1"/>
      <c r="R15" s="1"/>
      <c r="S15" s="1"/>
      <c r="T15" s="1"/>
      <c r="U15" s="1"/>
      <c r="V15" s="1"/>
      <c r="W15" s="1"/>
      <c r="X15" s="1"/>
      <c r="Y15" s="1"/>
      <c r="Z15" s="1"/>
      <c r="AA15" s="1"/>
      <c r="AB15" s="1"/>
      <c r="AC15" s="1"/>
      <c r="AD15" s="1"/>
      <c r="AE15" s="1"/>
      <c r="AF15" s="1"/>
      <c r="AG15" s="1"/>
      <c r="AH15" s="1"/>
      <c r="AI15" s="1"/>
      <c r="BM15">
        <v>11</v>
      </c>
    </row>
    <row r="16" spans="4:65" ht="11.45" customHeight="1" x14ac:dyDescent="0.15">
      <c r="D16" s="1"/>
      <c r="E16" s="1"/>
      <c r="F16" s="1"/>
      <c r="G16" s="1"/>
      <c r="J16" s="1"/>
      <c r="K16" s="1"/>
      <c r="L16" s="1"/>
      <c r="M16" s="1"/>
      <c r="N16" s="1"/>
      <c r="O16" s="1"/>
      <c r="P16" s="1"/>
      <c r="Q16" s="1"/>
      <c r="R16" s="1"/>
      <c r="S16" s="1"/>
      <c r="T16" s="1"/>
      <c r="U16" s="1"/>
      <c r="V16" s="1"/>
      <c r="W16" s="1"/>
      <c r="X16" s="1"/>
      <c r="Y16" s="1"/>
      <c r="Z16" s="1"/>
      <c r="AA16" s="1"/>
      <c r="AB16" s="1"/>
      <c r="AC16" s="1"/>
      <c r="AD16" s="1"/>
      <c r="AE16" s="1"/>
      <c r="AF16" s="1"/>
      <c r="AG16" s="1"/>
      <c r="AH16" s="1"/>
      <c r="AI16" s="1"/>
      <c r="BM16">
        <v>11</v>
      </c>
    </row>
    <row r="17" spans="4:65" ht="15" customHeight="1" x14ac:dyDescent="0.15">
      <c r="D17" s="1" t="s">
        <v>105</v>
      </c>
      <c r="E17" s="1" t="s">
        <v>411</v>
      </c>
      <c r="F17" s="1" t="s">
        <v>413</v>
      </c>
      <c r="G17" s="1" t="s">
        <v>19</v>
      </c>
      <c r="I17" s="1"/>
      <c r="J17" s="1"/>
      <c r="L17" s="1"/>
      <c r="M17" s="1"/>
      <c r="O17" s="1"/>
      <c r="P17" s="1"/>
      <c r="R17" s="1"/>
      <c r="S17" s="1"/>
      <c r="U17" s="1"/>
      <c r="V17" s="1"/>
      <c r="X17" s="1"/>
      <c r="Y17" s="1"/>
      <c r="AA17" s="1"/>
      <c r="AB17" s="1"/>
      <c r="AD17" s="1"/>
      <c r="AE17" s="1"/>
      <c r="BM17">
        <v>14</v>
      </c>
    </row>
    <row r="18" spans="4:65" ht="14.65" customHeight="1" x14ac:dyDescent="0.15">
      <c r="D18" s="1"/>
      <c r="E18" s="1"/>
      <c r="F18" s="1"/>
      <c r="G18" s="1"/>
      <c r="I18" s="1"/>
      <c r="J18" s="1"/>
      <c r="L18" s="1"/>
      <c r="M18" s="1"/>
      <c r="O18" s="1"/>
      <c r="P18" s="1"/>
      <c r="R18" s="1"/>
      <c r="S18" s="1"/>
      <c r="U18" s="1"/>
      <c r="V18" s="1"/>
      <c r="X18" s="1"/>
      <c r="Y18" s="1"/>
      <c r="AA18" s="1"/>
      <c r="AB18" s="1"/>
      <c r="AD18" s="1"/>
      <c r="AE18" s="1"/>
      <c r="AH18" s="1"/>
      <c r="AI18" s="1"/>
      <c r="BM18">
        <v>14</v>
      </c>
    </row>
    <row r="19" spans="4:65" ht="14.65" customHeight="1" x14ac:dyDescent="0.15">
      <c r="D19" s="1"/>
      <c r="E19" s="1"/>
      <c r="F19" s="1"/>
      <c r="G19" s="1"/>
      <c r="I19" s="1"/>
      <c r="J19" s="1"/>
      <c r="L19" s="1"/>
      <c r="M19" s="1"/>
      <c r="O19" s="1"/>
      <c r="P19" s="1"/>
      <c r="R19" s="1"/>
      <c r="S19" s="1"/>
      <c r="U19" s="1"/>
      <c r="V19" s="1"/>
      <c r="X19" s="1"/>
      <c r="Y19" s="1"/>
      <c r="AB19" s="1"/>
      <c r="AC19" s="1"/>
      <c r="AD19" s="1"/>
      <c r="AE19" s="1"/>
      <c r="AF19" s="1"/>
      <c r="AG19" s="1"/>
      <c r="AH19" s="1"/>
      <c r="AI19" s="1"/>
      <c r="BM19">
        <v>14</v>
      </c>
    </row>
    <row r="20" spans="4:65" ht="14.65" customHeight="1" x14ac:dyDescent="0.15">
      <c r="D20" s="1"/>
      <c r="E20" s="1"/>
      <c r="F20" s="1"/>
      <c r="G20" s="1"/>
      <c r="I20" s="1"/>
      <c r="J20" s="1"/>
      <c r="L20" s="1"/>
      <c r="M20" s="1"/>
      <c r="O20" s="1"/>
      <c r="P20" s="1"/>
      <c r="R20" s="1"/>
      <c r="S20" s="1"/>
      <c r="V20" s="1"/>
      <c r="W20" s="1"/>
      <c r="X20" s="1"/>
      <c r="Y20" s="1"/>
      <c r="Z20" s="1"/>
      <c r="AA20" s="1"/>
      <c r="AB20" s="1"/>
      <c r="AC20" s="1"/>
      <c r="AD20" s="1"/>
      <c r="AE20" s="1"/>
      <c r="AF20" s="1"/>
      <c r="AG20" s="1"/>
      <c r="AH20" s="1"/>
      <c r="AI20" s="1"/>
      <c r="BM20">
        <v>14</v>
      </c>
    </row>
    <row r="21" spans="4:65" ht="11.45" customHeight="1" x14ac:dyDescent="0.15">
      <c r="D21" s="1"/>
      <c r="E21" s="1"/>
      <c r="F21" s="1"/>
      <c r="G21" s="1"/>
      <c r="I21" s="1"/>
      <c r="J21" s="1"/>
      <c r="L21" s="1"/>
      <c r="M21" s="1"/>
      <c r="P21" s="1"/>
      <c r="Q21" s="1"/>
      <c r="R21" s="1"/>
      <c r="S21" s="1"/>
      <c r="T21" s="1"/>
      <c r="U21" s="1"/>
      <c r="V21" s="1"/>
      <c r="W21" s="1"/>
      <c r="X21" s="1"/>
      <c r="Y21" s="1"/>
      <c r="Z21" s="1"/>
      <c r="AA21" s="1"/>
      <c r="AB21" s="1"/>
      <c r="AC21" s="1"/>
      <c r="AD21" s="1"/>
      <c r="AE21" s="1"/>
      <c r="AF21" s="1"/>
      <c r="AG21" s="1"/>
      <c r="AH21" s="1"/>
      <c r="AI21" s="1"/>
      <c r="BM21">
        <v>11</v>
      </c>
    </row>
    <row r="22" spans="4:65" ht="11.45" customHeight="1" x14ac:dyDescent="0.15">
      <c r="D22" s="1"/>
      <c r="E22" s="1"/>
      <c r="F22" s="1"/>
      <c r="G22" s="1"/>
      <c r="J22" s="1"/>
      <c r="K22" s="1"/>
      <c r="L22" s="1"/>
      <c r="M22" s="1"/>
      <c r="N22" s="1"/>
      <c r="O22" s="1"/>
      <c r="P22" s="1"/>
      <c r="Q22" s="1"/>
      <c r="R22" s="1"/>
      <c r="S22" s="1"/>
      <c r="T22" s="1"/>
      <c r="U22" s="1"/>
      <c r="V22" s="1"/>
      <c r="W22" s="1"/>
      <c r="X22" s="1"/>
      <c r="Y22" s="1"/>
      <c r="Z22" s="1"/>
      <c r="AA22" s="1"/>
      <c r="AB22" s="1"/>
      <c r="AC22" s="1"/>
      <c r="AD22" s="1"/>
      <c r="AE22" s="1"/>
      <c r="AF22" s="1"/>
      <c r="AG22" s="1"/>
      <c r="AH22" s="1"/>
      <c r="AI22" s="1"/>
      <c r="BM22">
        <v>11</v>
      </c>
    </row>
    <row r="23" spans="4:65" ht="15" customHeight="1" x14ac:dyDescent="0.15">
      <c r="D23" s="1" t="s">
        <v>92</v>
      </c>
      <c r="E23" s="1" t="s">
        <v>411</v>
      </c>
      <c r="F23" s="1" t="s">
        <v>414</v>
      </c>
      <c r="G23" s="1" t="s">
        <v>19</v>
      </c>
      <c r="I23" s="1"/>
      <c r="J23" s="1"/>
      <c r="L23" s="1"/>
      <c r="M23" s="1"/>
      <c r="O23" s="1"/>
      <c r="P23" s="1"/>
      <c r="R23" s="1"/>
      <c r="S23" s="1"/>
      <c r="U23" s="1"/>
      <c r="V23" s="1"/>
      <c r="X23" s="1"/>
      <c r="Y23" s="1"/>
      <c r="AA23" s="1"/>
      <c r="AB23" s="1"/>
      <c r="AD23" s="1"/>
      <c r="AE23" s="1"/>
      <c r="AK23" t="s">
        <v>100</v>
      </c>
      <c r="BM23">
        <v>14</v>
      </c>
    </row>
    <row r="24" spans="4:65" ht="14.65" customHeight="1" x14ac:dyDescent="0.15">
      <c r="D24" s="1"/>
      <c r="E24" s="1"/>
      <c r="F24" s="1"/>
      <c r="G24" s="1"/>
      <c r="I24" s="1"/>
      <c r="J24" s="1"/>
      <c r="L24" s="1"/>
      <c r="M24" s="1"/>
      <c r="O24" s="1"/>
      <c r="P24" s="1"/>
      <c r="R24" s="1"/>
      <c r="S24" s="1"/>
      <c r="U24" s="1"/>
      <c r="V24" s="1"/>
      <c r="X24" s="1"/>
      <c r="Y24" s="1"/>
      <c r="AA24" s="1"/>
      <c r="AB24" s="1"/>
      <c r="AD24" s="1"/>
      <c r="AE24" s="1"/>
      <c r="AH24" s="1"/>
      <c r="AI24" s="1"/>
      <c r="BM24">
        <v>14</v>
      </c>
    </row>
    <row r="25" spans="4:65" ht="14.65" customHeight="1" x14ac:dyDescent="0.15">
      <c r="D25" s="1"/>
      <c r="E25" s="1"/>
      <c r="F25" s="1"/>
      <c r="G25" s="1"/>
      <c r="I25" s="1"/>
      <c r="J25" s="1"/>
      <c r="L25" s="1"/>
      <c r="M25" s="1"/>
      <c r="O25" s="1"/>
      <c r="P25" s="1"/>
      <c r="R25" s="1"/>
      <c r="S25" s="1"/>
      <c r="U25" s="1"/>
      <c r="V25" s="1"/>
      <c r="X25" s="1"/>
      <c r="Y25" s="1"/>
      <c r="AB25" s="1"/>
      <c r="AC25" s="1"/>
      <c r="AD25" s="1"/>
      <c r="AE25" s="1"/>
      <c r="AF25" s="1"/>
      <c r="AG25" s="1"/>
      <c r="AH25" s="1"/>
      <c r="AI25" s="1"/>
      <c r="BM25">
        <v>14</v>
      </c>
    </row>
    <row r="26" spans="4:65" ht="14.65" customHeight="1" x14ac:dyDescent="0.15">
      <c r="D26" s="1"/>
      <c r="E26" s="1"/>
      <c r="F26" s="1"/>
      <c r="G26" s="1"/>
      <c r="I26" s="1"/>
      <c r="J26" s="1"/>
      <c r="L26" s="1"/>
      <c r="M26" s="1"/>
      <c r="O26" s="1"/>
      <c r="P26" s="1"/>
      <c r="R26" s="1"/>
      <c r="S26" s="1"/>
      <c r="V26" s="1"/>
      <c r="W26" s="1"/>
      <c r="X26" s="1"/>
      <c r="Y26" s="1"/>
      <c r="Z26" s="1"/>
      <c r="AA26" s="1"/>
      <c r="AB26" s="1"/>
      <c r="AC26" s="1"/>
      <c r="AD26" s="1"/>
      <c r="AE26" s="1"/>
      <c r="AF26" s="1"/>
      <c r="AG26" s="1"/>
      <c r="AH26" s="1"/>
      <c r="AI26" s="1"/>
      <c r="BM26">
        <v>14</v>
      </c>
    </row>
    <row r="27" spans="4:65" ht="11.45" customHeight="1" x14ac:dyDescent="0.15">
      <c r="D27" s="1"/>
      <c r="E27" s="1"/>
      <c r="F27" s="1"/>
      <c r="G27" s="1"/>
      <c r="I27" s="1"/>
      <c r="J27" s="1"/>
      <c r="L27" s="1"/>
      <c r="M27" s="1"/>
      <c r="P27" s="1"/>
      <c r="Q27" s="1"/>
      <c r="R27" s="1"/>
      <c r="S27" s="1"/>
      <c r="T27" s="1"/>
      <c r="U27" s="1"/>
      <c r="V27" s="1"/>
      <c r="W27" s="1"/>
      <c r="X27" s="1"/>
      <c r="Y27" s="1"/>
      <c r="Z27" s="1"/>
      <c r="AA27" s="1"/>
      <c r="AB27" s="1"/>
      <c r="AC27" s="1"/>
      <c r="AD27" s="1"/>
      <c r="AE27" s="1"/>
      <c r="AF27" s="1"/>
      <c r="AG27" s="1"/>
      <c r="AH27" s="1"/>
      <c r="AI27" s="1"/>
      <c r="BM27">
        <v>11</v>
      </c>
    </row>
    <row r="28" spans="4:65" ht="11.45" customHeight="1" x14ac:dyDescent="0.15">
      <c r="D28" s="1"/>
      <c r="E28" s="1"/>
      <c r="F28" s="1"/>
      <c r="G28" s="1"/>
      <c r="J28" s="1"/>
      <c r="K28" s="1"/>
      <c r="L28" s="1"/>
      <c r="M28" s="1"/>
      <c r="N28" s="1"/>
      <c r="O28" s="1"/>
      <c r="P28" s="1"/>
      <c r="Q28" s="1"/>
      <c r="R28" s="1"/>
      <c r="S28" s="1"/>
      <c r="T28" s="1"/>
      <c r="U28" s="1"/>
      <c r="V28" s="1"/>
      <c r="W28" s="1"/>
      <c r="X28" s="1"/>
      <c r="Y28" s="1"/>
      <c r="Z28" s="1"/>
      <c r="AA28" s="1"/>
      <c r="AB28" s="1"/>
      <c r="AC28" s="1"/>
      <c r="AD28" s="1"/>
      <c r="AE28" s="1"/>
      <c r="AF28" s="1"/>
      <c r="AG28" s="1"/>
      <c r="AH28" s="1"/>
      <c r="AI28" s="1"/>
      <c r="BM28">
        <v>11</v>
      </c>
    </row>
    <row r="29" spans="4:65" ht="15" customHeight="1" x14ac:dyDescent="0.15">
      <c r="D29" s="1" t="s">
        <v>93</v>
      </c>
      <c r="E29" s="1" t="s">
        <v>411</v>
      </c>
      <c r="F29" s="1" t="s">
        <v>415</v>
      </c>
      <c r="G29" s="1" t="s">
        <v>19</v>
      </c>
      <c r="I29" s="1"/>
      <c r="J29" s="1"/>
      <c r="L29" s="1"/>
      <c r="M29" s="1"/>
      <c r="O29" s="1"/>
      <c r="P29" s="1"/>
      <c r="R29" s="1"/>
      <c r="S29" s="1"/>
      <c r="U29" s="1"/>
      <c r="V29" s="1"/>
      <c r="X29" s="1"/>
      <c r="Y29" s="1"/>
      <c r="AA29" s="1"/>
      <c r="AB29" s="1"/>
      <c r="AD29" s="1"/>
      <c r="AE29" s="1"/>
      <c r="BM29">
        <v>14</v>
      </c>
    </row>
    <row r="30" spans="4:65" ht="14.65" customHeight="1" x14ac:dyDescent="0.15">
      <c r="D30" s="1"/>
      <c r="E30" s="1"/>
      <c r="F30" s="1"/>
      <c r="G30" s="1"/>
      <c r="I30" s="1"/>
      <c r="J30" s="1"/>
      <c r="L30" s="1"/>
      <c r="M30" s="1"/>
      <c r="O30" s="1"/>
      <c r="P30" s="1"/>
      <c r="R30" s="1"/>
      <c r="S30" s="1"/>
      <c r="U30" s="1"/>
      <c r="V30" s="1"/>
      <c r="X30" s="1"/>
      <c r="Y30" s="1"/>
      <c r="AA30" s="1"/>
      <c r="AB30" s="1"/>
      <c r="AD30" s="1"/>
      <c r="AE30" s="1"/>
      <c r="AH30" s="1"/>
      <c r="AI30" s="1"/>
      <c r="BM30">
        <v>14</v>
      </c>
    </row>
    <row r="31" spans="4:65" ht="14.65" customHeight="1" x14ac:dyDescent="0.15">
      <c r="D31" s="1"/>
      <c r="E31" s="1"/>
      <c r="F31" s="1"/>
      <c r="G31" s="1"/>
      <c r="I31" s="1"/>
      <c r="J31" s="1"/>
      <c r="L31" s="1"/>
      <c r="M31" s="1"/>
      <c r="O31" s="1"/>
      <c r="P31" s="1"/>
      <c r="R31" s="1"/>
      <c r="S31" s="1"/>
      <c r="U31" s="1"/>
      <c r="V31" s="1"/>
      <c r="X31" s="1"/>
      <c r="Y31" s="1"/>
      <c r="AB31" s="1"/>
      <c r="AC31" s="1"/>
      <c r="AD31" s="1"/>
      <c r="AE31" s="1"/>
      <c r="AF31" s="1"/>
      <c r="AG31" s="1"/>
      <c r="AH31" s="1"/>
      <c r="AI31" s="1"/>
      <c r="BM31">
        <v>14</v>
      </c>
    </row>
    <row r="32" spans="4:65" ht="14.65" customHeight="1" x14ac:dyDescent="0.15">
      <c r="D32" s="1"/>
      <c r="E32" s="1"/>
      <c r="F32" s="1"/>
      <c r="G32" s="1"/>
      <c r="I32" s="1"/>
      <c r="J32" s="1"/>
      <c r="L32" s="1"/>
      <c r="M32" s="1"/>
      <c r="O32" s="1"/>
      <c r="P32" s="1"/>
      <c r="R32" s="1"/>
      <c r="S32" s="1"/>
      <c r="V32" s="1"/>
      <c r="W32" s="1"/>
      <c r="X32" s="1"/>
      <c r="Y32" s="1"/>
      <c r="Z32" s="1"/>
      <c r="AA32" s="1"/>
      <c r="AB32" s="1"/>
      <c r="AC32" s="1"/>
      <c r="AD32" s="1"/>
      <c r="AE32" s="1"/>
      <c r="AF32" s="1"/>
      <c r="AG32" s="1"/>
      <c r="AH32" s="1"/>
      <c r="AI32" s="1"/>
      <c r="BM32">
        <v>14</v>
      </c>
    </row>
    <row r="33" spans="4:65" ht="11.45" customHeight="1" x14ac:dyDescent="0.15">
      <c r="D33" s="1"/>
      <c r="E33" s="1"/>
      <c r="F33" s="1"/>
      <c r="G33" s="1"/>
      <c r="I33" s="1"/>
      <c r="J33" s="1"/>
      <c r="L33" s="1"/>
      <c r="M33" s="1"/>
      <c r="P33" s="1"/>
      <c r="Q33" s="1"/>
      <c r="R33" s="1"/>
      <c r="S33" s="1"/>
      <c r="T33" s="1"/>
      <c r="U33" s="1"/>
      <c r="V33" s="1"/>
      <c r="W33" s="1"/>
      <c r="X33" s="1"/>
      <c r="Y33" s="1"/>
      <c r="Z33" s="1"/>
      <c r="AA33" s="1"/>
      <c r="AB33" s="1"/>
      <c r="AC33" s="1"/>
      <c r="AD33" s="1"/>
      <c r="AE33" s="1"/>
      <c r="AF33" s="1"/>
      <c r="AG33" s="1"/>
      <c r="AH33" s="1"/>
      <c r="AI33" s="1"/>
      <c r="BM33">
        <v>11</v>
      </c>
    </row>
    <row r="34" spans="4:65" ht="11.45" customHeight="1" x14ac:dyDescent="0.15">
      <c r="D34" s="1"/>
      <c r="E34" s="1"/>
      <c r="F34" s="1"/>
      <c r="G34" s="1"/>
      <c r="J34" s="1"/>
      <c r="K34" s="1"/>
      <c r="L34" s="1"/>
      <c r="M34" s="1"/>
      <c r="N34" s="1"/>
      <c r="O34" s="1"/>
      <c r="P34" s="1"/>
      <c r="Q34" s="1"/>
      <c r="R34" s="1"/>
      <c r="S34" s="1"/>
      <c r="T34" s="1"/>
      <c r="U34" s="1"/>
      <c r="V34" s="1"/>
      <c r="W34" s="1"/>
      <c r="X34" s="1"/>
      <c r="Y34" s="1"/>
      <c r="Z34" s="1"/>
      <c r="AA34" s="1"/>
      <c r="AB34" s="1"/>
      <c r="AC34" s="1"/>
      <c r="AD34" s="1"/>
      <c r="AE34" s="1"/>
      <c r="AF34" s="1"/>
      <c r="AG34" s="1"/>
      <c r="AH34" s="1"/>
      <c r="AI34" s="1"/>
      <c r="BM34">
        <v>11</v>
      </c>
    </row>
    <row r="35" spans="4:65" ht="15" customHeight="1" x14ac:dyDescent="0.15">
      <c r="D35" s="1" t="s">
        <v>120</v>
      </c>
      <c r="E35" s="1" t="s">
        <v>411</v>
      </c>
      <c r="F35" s="1" t="s">
        <v>416</v>
      </c>
      <c r="G35" s="1" t="s">
        <v>19</v>
      </c>
      <c r="I35" s="1"/>
      <c r="J35" s="1"/>
      <c r="L35" s="1"/>
      <c r="M35" s="1"/>
      <c r="O35" s="1"/>
      <c r="P35" s="1"/>
      <c r="R35" s="1"/>
      <c r="S35" s="1"/>
      <c r="U35" s="1"/>
      <c r="V35" s="1"/>
      <c r="X35" s="1"/>
      <c r="Y35" s="1"/>
      <c r="AA35" s="1"/>
      <c r="AB35" s="1"/>
      <c r="AD35" s="1"/>
      <c r="AE35" s="1"/>
      <c r="BM35">
        <v>14</v>
      </c>
    </row>
    <row r="36" spans="4:65" ht="14.65" customHeight="1" x14ac:dyDescent="0.15">
      <c r="D36" s="1"/>
      <c r="E36" s="1"/>
      <c r="F36" s="1"/>
      <c r="G36" s="1"/>
      <c r="I36" s="1"/>
      <c r="J36" s="1"/>
      <c r="L36" s="1"/>
      <c r="M36" s="1"/>
      <c r="O36" s="1"/>
      <c r="P36" s="1"/>
      <c r="R36" s="1"/>
      <c r="S36" s="1"/>
      <c r="U36" s="1"/>
      <c r="V36" s="1"/>
      <c r="X36" s="1"/>
      <c r="Y36" s="1"/>
      <c r="AA36" s="1"/>
      <c r="AB36" s="1"/>
      <c r="AD36" s="1"/>
      <c r="AE36" s="1"/>
      <c r="AH36" s="1"/>
      <c r="AI36" s="1"/>
      <c r="BM36">
        <v>14</v>
      </c>
    </row>
    <row r="37" spans="4:65" ht="14.65" customHeight="1" x14ac:dyDescent="0.15">
      <c r="D37" s="1"/>
      <c r="E37" s="1"/>
      <c r="F37" s="1"/>
      <c r="G37" s="1"/>
      <c r="I37" s="1"/>
      <c r="J37" s="1"/>
      <c r="L37" s="1"/>
      <c r="M37" s="1"/>
      <c r="O37" s="1"/>
      <c r="P37" s="1"/>
      <c r="R37" s="1"/>
      <c r="S37" s="1"/>
      <c r="U37" s="1"/>
      <c r="V37" s="1"/>
      <c r="X37" s="1"/>
      <c r="Y37" s="1"/>
      <c r="AB37" s="1"/>
      <c r="AC37" s="1"/>
      <c r="AD37" s="1"/>
      <c r="AE37" s="1"/>
      <c r="AF37" s="1"/>
      <c r="AG37" s="1"/>
      <c r="AH37" s="1"/>
      <c r="AI37" s="1"/>
      <c r="BM37">
        <v>14</v>
      </c>
    </row>
    <row r="38" spans="4:65" ht="14.65" customHeight="1" x14ac:dyDescent="0.15">
      <c r="D38" s="1"/>
      <c r="E38" s="1"/>
      <c r="F38" s="1"/>
      <c r="G38" s="1"/>
      <c r="I38" s="1"/>
      <c r="J38" s="1"/>
      <c r="L38" s="1"/>
      <c r="M38" s="1"/>
      <c r="O38" s="1"/>
      <c r="P38" s="1"/>
      <c r="R38" s="1"/>
      <c r="S38" s="1"/>
      <c r="V38" s="1"/>
      <c r="W38" s="1"/>
      <c r="X38" s="1"/>
      <c r="Y38" s="1"/>
      <c r="Z38" s="1"/>
      <c r="AA38" s="1"/>
      <c r="AB38" s="1"/>
      <c r="AC38" s="1"/>
      <c r="AD38" s="1"/>
      <c r="AE38" s="1"/>
      <c r="AF38" s="1"/>
      <c r="AG38" s="1"/>
      <c r="AH38" s="1"/>
      <c r="AI38" s="1"/>
      <c r="BM38">
        <v>14</v>
      </c>
    </row>
    <row r="39" spans="4:65" ht="11.45" customHeight="1" x14ac:dyDescent="0.15">
      <c r="D39" s="1"/>
      <c r="E39" s="1"/>
      <c r="F39" s="1"/>
      <c r="G39" s="1"/>
      <c r="I39" s="1"/>
      <c r="J39" s="1"/>
      <c r="L39" s="1"/>
      <c r="M39" s="1"/>
      <c r="P39" s="1"/>
      <c r="Q39" s="1"/>
      <c r="R39" s="1"/>
      <c r="S39" s="1"/>
      <c r="T39" s="1"/>
      <c r="U39" s="1"/>
      <c r="V39" s="1"/>
      <c r="W39" s="1"/>
      <c r="X39" s="1"/>
      <c r="Y39" s="1"/>
      <c r="Z39" s="1"/>
      <c r="AA39" s="1"/>
      <c r="AB39" s="1"/>
      <c r="AC39" s="1"/>
      <c r="AD39" s="1"/>
      <c r="AE39" s="1"/>
      <c r="AF39" s="1"/>
      <c r="AG39" s="1"/>
      <c r="AH39" s="1"/>
      <c r="AI39" s="1"/>
      <c r="BM39">
        <v>11</v>
      </c>
    </row>
    <row r="40" spans="4:65" ht="11.45" customHeight="1" x14ac:dyDescent="0.15">
      <c r="D40" s="1"/>
      <c r="E40" s="1"/>
      <c r="F40" s="1"/>
      <c r="G40" s="1"/>
      <c r="J40" s="1"/>
      <c r="K40" s="1"/>
      <c r="L40" s="1"/>
      <c r="M40" s="1"/>
      <c r="N40" s="1"/>
      <c r="O40" s="1"/>
      <c r="P40" s="1"/>
      <c r="Q40" s="1"/>
      <c r="R40" s="1"/>
      <c r="S40" s="1"/>
      <c r="T40" s="1"/>
      <c r="U40" s="1"/>
      <c r="V40" s="1"/>
      <c r="W40" s="1"/>
      <c r="X40" s="1"/>
      <c r="Y40" s="1"/>
      <c r="Z40" s="1"/>
      <c r="AA40" s="1"/>
      <c r="AB40" s="1"/>
      <c r="AC40" s="1"/>
      <c r="AD40" s="1"/>
      <c r="AE40" s="1"/>
      <c r="AF40" s="1"/>
      <c r="AG40" s="1"/>
      <c r="AH40" s="1"/>
      <c r="AI40" s="1"/>
      <c r="BM40">
        <v>11</v>
      </c>
    </row>
    <row r="41" spans="4:65" ht="11.45" customHeight="1" x14ac:dyDescent="0.15">
      <c r="BM41">
        <v>11</v>
      </c>
    </row>
    <row r="42" spans="4:65" ht="11.45" customHeight="1" x14ac:dyDescent="0.15">
      <c r="BM42">
        <v>11</v>
      </c>
    </row>
    <row r="43" spans="4:65" ht="11.45" customHeight="1" x14ac:dyDescent="0.15">
      <c r="BM43">
        <v>11</v>
      </c>
    </row>
    <row r="44" spans="4:65" ht="11.45" customHeight="1" x14ac:dyDescent="0.15">
      <c r="BM44">
        <v>11</v>
      </c>
    </row>
    <row r="45" spans="4:65" ht="11.45" customHeight="1" x14ac:dyDescent="0.15">
      <c r="BM45">
        <v>11</v>
      </c>
    </row>
    <row r="46" spans="4:65" ht="11.45" customHeight="1" x14ac:dyDescent="0.15">
      <c r="BM46">
        <v>11</v>
      </c>
    </row>
    <row r="47" spans="4:65" ht="11.45" customHeight="1" x14ac:dyDescent="0.15">
      <c r="BM47">
        <v>11</v>
      </c>
    </row>
    <row r="48" spans="4:65" ht="11.45" customHeight="1" x14ac:dyDescent="0.15">
      <c r="BM48">
        <v>11</v>
      </c>
    </row>
    <row r="49" spans="1:65" ht="11.45" customHeight="1" x14ac:dyDescent="0.15">
      <c r="BM49">
        <v>11</v>
      </c>
    </row>
    <row r="50" spans="1:65" ht="11.25" hidden="1" customHeight="1" x14ac:dyDescent="0.15">
      <c r="A50" t="s">
        <v>84</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x14ac:dyDescent="0.15"/>
  <cols>
    <col min="1" max="2" width="15" hidden="1" customWidth="1"/>
    <col min="3" max="3" width="3" customWidth="1"/>
    <col min="4" max="4" width="6" customWidth="1"/>
    <col min="5" max="5" width="52" customWidth="1"/>
    <col min="6" max="6" width="48" customWidth="1"/>
    <col min="7" max="7" width="121" customWidth="1"/>
    <col min="8" max="8" width="8" customWidth="1"/>
    <col min="9" max="9" width="64" customWidth="1"/>
    <col min="10" max="10" width="9.140625" hidden="1"/>
  </cols>
  <sheetData>
    <row r="1" spans="1:10" ht="11.25" hidden="1" customHeight="1" x14ac:dyDescent="0.15">
      <c r="A1" t="s">
        <v>417</v>
      </c>
      <c r="J1" t="s">
        <v>14</v>
      </c>
    </row>
    <row r="2" spans="1:10" ht="11.25" hidden="1" customHeight="1" x14ac:dyDescent="0.15">
      <c r="J2">
        <v>0</v>
      </c>
    </row>
    <row r="3" spans="1:10" ht="11.45" customHeight="1" x14ac:dyDescent="0.15">
      <c r="J3">
        <v>11</v>
      </c>
    </row>
    <row r="4" spans="1:10" ht="27.4" customHeight="1" x14ac:dyDescent="0.15">
      <c r="D4" s="1" t="str">
        <f>ORG_INFO_NAME_FORM</f>
        <v>Форма 1. Информация об организации, осуществляющей водоотведение (общая информация)</v>
      </c>
      <c r="E4" s="1"/>
      <c r="F4" s="1"/>
      <c r="J4">
        <v>26</v>
      </c>
    </row>
    <row r="5" spans="1:10" ht="18" customHeight="1" x14ac:dyDescent="0.15">
      <c r="D5" s="1" t="str">
        <f>IF(org=0,"Не определено",org)</f>
        <v>КГУП "Примтеплоэнерго"</v>
      </c>
      <c r="E5" s="1"/>
      <c r="F5" s="1"/>
      <c r="J5">
        <v>17</v>
      </c>
    </row>
    <row r="6" spans="1:10" ht="11.45" customHeight="1" x14ac:dyDescent="0.15">
      <c r="J6">
        <v>11</v>
      </c>
    </row>
    <row r="7" spans="1:10" ht="11.25" hidden="1" customHeight="1" x14ac:dyDescent="0.15">
      <c r="E7" s="1"/>
      <c r="F7" s="1"/>
      <c r="J7">
        <v>0</v>
      </c>
    </row>
    <row r="8" spans="1:10" ht="11.45" customHeight="1" x14ac:dyDescent="0.15">
      <c r="D8" s="1" t="s">
        <v>418</v>
      </c>
      <c r="E8" s="1"/>
      <c r="F8" s="1"/>
      <c r="G8" s="1" t="s">
        <v>419</v>
      </c>
      <c r="J8">
        <v>11</v>
      </c>
    </row>
    <row r="9" spans="1:10" ht="11.45" customHeight="1" x14ac:dyDescent="0.15">
      <c r="D9" t="s">
        <v>90</v>
      </c>
      <c r="E9" t="s">
        <v>420</v>
      </c>
      <c r="F9" t="s">
        <v>421</v>
      </c>
      <c r="G9" s="1"/>
      <c r="J9">
        <v>11</v>
      </c>
    </row>
    <row r="10" spans="1:10" ht="12" hidden="1" customHeight="1" x14ac:dyDescent="0.15">
      <c r="J10">
        <v>0</v>
      </c>
    </row>
    <row r="11" spans="1:10" ht="22.5" hidden="1" customHeight="1" x14ac:dyDescent="0.15">
      <c r="D11" t="s">
        <v>101</v>
      </c>
      <c r="E11" t="s">
        <v>422</v>
      </c>
      <c r="F11" t="str">
        <f>IF(region_name="","",region_name)</f>
        <v>Приморский край</v>
      </c>
      <c r="G11" t="s">
        <v>423</v>
      </c>
      <c r="J11">
        <v>0</v>
      </c>
    </row>
    <row r="12" spans="1:10" ht="22.5" hidden="1" customHeight="1" x14ac:dyDescent="0.15">
      <c r="D12" t="s">
        <v>101</v>
      </c>
      <c r="E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t="s">
        <v>424</v>
      </c>
      <c r="J12">
        <v>0</v>
      </c>
    </row>
    <row r="13" spans="1:10" ht="23.25" customHeight="1" x14ac:dyDescent="0.15">
      <c r="D13" t="s">
        <v>101</v>
      </c>
      <c r="E13" t="str">
        <f>"Наименование юридического лица"&amp;IF(TEMPLATE_SPHERE="TKO"," (индивидуального предпринимателя)","")</f>
        <v>Наименование юридического лица</v>
      </c>
      <c r="G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J13">
        <v>22</v>
      </c>
    </row>
    <row r="14" spans="1:10" ht="22.5" hidden="1" customHeight="1" x14ac:dyDescent="0.15">
      <c r="D14" t="s">
        <v>425</v>
      </c>
      <c r="E14" t="s">
        <v>426</v>
      </c>
      <c r="F14" t="str">
        <f>IF(inn="","",inn)</f>
        <v>2536112729</v>
      </c>
      <c r="G14" t="s">
        <v>427</v>
      </c>
      <c r="J14">
        <v>0</v>
      </c>
    </row>
    <row r="15" spans="1:10" ht="22.5" hidden="1" customHeight="1" x14ac:dyDescent="0.15">
      <c r="D15" t="s">
        <v>428</v>
      </c>
      <c r="E15" t="s">
        <v>429</v>
      </c>
      <c r="F15" t="str">
        <f>IF(kpp="","",kpp)</f>
        <v>253801001</v>
      </c>
      <c r="G15" t="s">
        <v>430</v>
      </c>
      <c r="J15">
        <v>0</v>
      </c>
    </row>
    <row r="16" spans="1:10" ht="39" customHeight="1" x14ac:dyDescent="0.15">
      <c r="D16" t="s">
        <v>105</v>
      </c>
      <c r="E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G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J16">
        <v>37</v>
      </c>
    </row>
    <row r="17" spans="1:10" ht="23.25" customHeight="1" x14ac:dyDescent="0.15">
      <c r="D17" t="s">
        <v>92</v>
      </c>
      <c r="E17" t="str">
        <f>"Дата присвоения ОГРН"&amp;IF(TEMPLATE_SPHERE="TKO",""," (ОГРНИП)")</f>
        <v>Дата присвоения ОГРН (ОГРНИП)</v>
      </c>
      <c r="F17" t="s">
        <v>28</v>
      </c>
      <c r="G17" t="str">
        <f>"Дата присвоения ОГРН"&amp;IF(TEMPLATE_SPHERE="TKO",""," (ОГРНИП)")&amp;" указывается в виде «ДД.ММ.ГГГГ»."</f>
        <v>Дата присвоения ОГРН (ОГРНИП) указывается в виде «ДД.ММ.ГГГГ».</v>
      </c>
      <c r="J17">
        <v>22</v>
      </c>
    </row>
    <row r="18" spans="1:10" ht="71.25" customHeight="1" x14ac:dyDescent="0.15">
      <c r="D18" t="s">
        <v>93</v>
      </c>
      <c r="E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J18">
        <v>68</v>
      </c>
    </row>
    <row r="19" spans="1:10" ht="22.5" hidden="1" customHeight="1" x14ac:dyDescent="0.15">
      <c r="A19" s="1" t="s">
        <v>431</v>
      </c>
      <c r="C19" s="1"/>
      <c r="D19" t="str">
        <f>A19</f>
        <v>5.1</v>
      </c>
      <c r="E19" t="s">
        <v>432</v>
      </c>
      <c r="F19" t="s">
        <v>424</v>
      </c>
      <c r="G19" t="s">
        <v>433</v>
      </c>
      <c r="J19">
        <v>0</v>
      </c>
    </row>
    <row r="20" spans="1:10" ht="24" hidden="1" customHeight="1" x14ac:dyDescent="0.15">
      <c r="A20" s="1"/>
      <c r="C20" s="1"/>
      <c r="D20" t="str">
        <f>D19&amp;".1"</f>
        <v>5.1.1</v>
      </c>
      <c r="E20" t="s">
        <v>434</v>
      </c>
      <c r="F20" t="s">
        <v>28</v>
      </c>
      <c r="J20">
        <v>0</v>
      </c>
    </row>
    <row r="21" spans="1:10" ht="22.5" hidden="1" customHeight="1" x14ac:dyDescent="0.15">
      <c r="A21" s="1"/>
      <c r="C21" s="1"/>
      <c r="D21" t="str">
        <f>D19&amp;".2"</f>
        <v>5.1.2</v>
      </c>
      <c r="E21" t="s">
        <v>435</v>
      </c>
      <c r="F21" t="s">
        <v>28</v>
      </c>
      <c r="G21" t="s">
        <v>436</v>
      </c>
      <c r="J21">
        <v>0</v>
      </c>
    </row>
    <row r="22" spans="1:10" ht="22.5" hidden="1" customHeight="1" x14ac:dyDescent="0.15">
      <c r="A22" s="1"/>
      <c r="C22" s="1"/>
      <c r="D22" t="str">
        <f>D19&amp;".3"</f>
        <v>5.1.3</v>
      </c>
      <c r="E22" t="s">
        <v>437</v>
      </c>
      <c r="F22" t="s">
        <v>28</v>
      </c>
      <c r="J22">
        <v>0</v>
      </c>
    </row>
    <row r="23" spans="1:10" ht="22.5" hidden="1" customHeight="1" x14ac:dyDescent="0.15">
      <c r="A23" s="1"/>
      <c r="C23" s="1"/>
      <c r="D23" t="str">
        <f>D19&amp;".4"</f>
        <v>5.1.4</v>
      </c>
      <c r="E23" t="s">
        <v>438</v>
      </c>
      <c r="F23" t="s">
        <v>28</v>
      </c>
      <c r="G23" t="s">
        <v>439</v>
      </c>
      <c r="J23">
        <v>0</v>
      </c>
    </row>
    <row r="24" spans="1:10" ht="22.5" hidden="1" customHeight="1" x14ac:dyDescent="0.15">
      <c r="E24" t="s">
        <v>440</v>
      </c>
      <c r="J24">
        <v>0</v>
      </c>
    </row>
    <row r="25" spans="1:10" ht="24.75" hidden="1" customHeight="1" x14ac:dyDescent="0.15">
      <c r="D25" t="s">
        <v>92</v>
      </c>
      <c r="E25" t="s">
        <v>441</v>
      </c>
      <c r="F25" t="s">
        <v>424</v>
      </c>
      <c r="J25">
        <v>0</v>
      </c>
    </row>
    <row r="26" spans="1:10" ht="11.25" hidden="1" customHeight="1" x14ac:dyDescent="0.15">
      <c r="D26" t="s">
        <v>442</v>
      </c>
      <c r="E26" t="s">
        <v>443</v>
      </c>
      <c r="F26" t="s">
        <v>424</v>
      </c>
      <c r="J26">
        <v>0</v>
      </c>
    </row>
    <row r="27" spans="1:10" ht="11.25" hidden="1" customHeight="1" x14ac:dyDescent="0.15">
      <c r="D27" t="s">
        <v>444</v>
      </c>
      <c r="E27" t="s">
        <v>445</v>
      </c>
      <c r="G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v>0</v>
      </c>
    </row>
    <row r="28" spans="1:10" ht="11.25" hidden="1" customHeight="1" x14ac:dyDescent="0.15">
      <c r="D28" t="s">
        <v>446</v>
      </c>
      <c r="E28" t="s">
        <v>447</v>
      </c>
      <c r="G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v>0</v>
      </c>
    </row>
    <row r="29" spans="1:10" ht="11.25" hidden="1" customHeight="1" x14ac:dyDescent="0.15">
      <c r="D29" t="s">
        <v>448</v>
      </c>
      <c r="E29" t="s">
        <v>449</v>
      </c>
      <c r="G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v>0</v>
      </c>
    </row>
    <row r="30" spans="1:10" ht="11.25" hidden="1" customHeight="1" x14ac:dyDescent="0.15">
      <c r="D30" t="s">
        <v>450</v>
      </c>
      <c r="E30" t="s">
        <v>451</v>
      </c>
      <c r="J30">
        <v>0</v>
      </c>
    </row>
    <row r="31" spans="1:10" ht="11.25" hidden="1" customHeight="1" x14ac:dyDescent="0.15">
      <c r="D31" t="s">
        <v>452</v>
      </c>
      <c r="E31" t="s">
        <v>453</v>
      </c>
      <c r="J31">
        <v>0</v>
      </c>
    </row>
    <row r="32" spans="1:10" ht="11.25" hidden="1" customHeight="1" x14ac:dyDescent="0.15">
      <c r="D32" t="s">
        <v>454</v>
      </c>
      <c r="E32" t="s">
        <v>455</v>
      </c>
      <c r="J32">
        <v>0</v>
      </c>
    </row>
    <row r="33" spans="1:10" ht="24" customHeight="1" x14ac:dyDescent="0.15">
      <c r="A33" t="str">
        <f>IF(TEMPLATE_SPHERE="HEAT","6","5")</f>
        <v>5</v>
      </c>
      <c r="D33" t="str">
        <f>A33</f>
        <v>5</v>
      </c>
      <c r="E3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t="s">
        <v>424</v>
      </c>
      <c r="J33">
        <v>23</v>
      </c>
    </row>
    <row r="34" spans="1:10" ht="23.25" customHeight="1" x14ac:dyDescent="0.15">
      <c r="D34" t="str">
        <f>D33&amp;".1"</f>
        <v>5.1</v>
      </c>
      <c r="E34" t="str">
        <f>"фамилия"&amp;IF(TEMPLATE_SPHERE&lt;&gt;"HEAT"," руководителя","")</f>
        <v>фамилия руководителя</v>
      </c>
      <c r="G3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J34">
        <v>22</v>
      </c>
    </row>
    <row r="35" spans="1:10" ht="23.25" customHeight="1" x14ac:dyDescent="0.15">
      <c r="D35" t="str">
        <f>D33&amp;".2"</f>
        <v>5.2</v>
      </c>
      <c r="E35" t="str">
        <f>"имя"&amp;IF(TEMPLATE_SPHERE&lt;&gt;"HEAT"," руководителя","")</f>
        <v>имя руководителя</v>
      </c>
      <c r="G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J35">
        <v>22</v>
      </c>
    </row>
    <row r="36" spans="1:10" ht="24" customHeight="1" x14ac:dyDescent="0.15">
      <c r="D36" t="str">
        <f>D33&amp;".3"</f>
        <v>5.3</v>
      </c>
      <c r="E36" t="str">
        <f>"отчество"&amp;IF(TEMPLATE_SPHERE&lt;&gt;"HEAT"," руководителя","")</f>
        <v>отчество руководителя</v>
      </c>
      <c r="G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J36">
        <v>23</v>
      </c>
    </row>
    <row r="37" spans="1:10" ht="35.65" customHeight="1" x14ac:dyDescent="0.15">
      <c r="D37">
        <f>D33+1</f>
        <v>6</v>
      </c>
      <c r="E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G37" t="s">
        <v>456</v>
      </c>
      <c r="J37">
        <v>34</v>
      </c>
    </row>
    <row r="38" spans="1:10" ht="35.65" customHeight="1" x14ac:dyDescent="0.15">
      <c r="D38">
        <f>D37+1</f>
        <v>7</v>
      </c>
      <c r="E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G38" t="s">
        <v>456</v>
      </c>
      <c r="J38">
        <v>34</v>
      </c>
    </row>
    <row r="39" spans="1:10" ht="23.25" customHeight="1" x14ac:dyDescent="0.15">
      <c r="D39">
        <f>D38+1</f>
        <v>8</v>
      </c>
      <c r="E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t="s">
        <v>424</v>
      </c>
      <c r="G39" s="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J39">
        <v>22</v>
      </c>
    </row>
    <row r="40" spans="1:10" ht="22.5" hidden="1" customHeight="1" x14ac:dyDescent="0.15">
      <c r="D40" t="str">
        <f>D39&amp;".0"</f>
        <v>8.0</v>
      </c>
      <c r="G40" s="1"/>
      <c r="J40">
        <v>0</v>
      </c>
    </row>
    <row r="41" spans="1:10" ht="23.25" customHeight="1" x14ac:dyDescent="0.15">
      <c r="D41" t="str">
        <f>D39&amp;".1"</f>
        <v>8.1</v>
      </c>
      <c r="G41" s="1"/>
      <c r="J41">
        <v>22</v>
      </c>
    </row>
    <row r="42" spans="1:10" ht="15.75" customHeight="1" x14ac:dyDescent="0.15">
      <c r="E42" t="s">
        <v>457</v>
      </c>
      <c r="G42" s="1"/>
      <c r="J42">
        <v>15</v>
      </c>
    </row>
    <row r="43" spans="1:10" ht="27.4" customHeight="1" x14ac:dyDescent="0.15">
      <c r="D43">
        <f>D39+1</f>
        <v>9</v>
      </c>
      <c r="E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G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J43">
        <v>26</v>
      </c>
    </row>
    <row r="44" spans="1:10" ht="23.25" customHeight="1" x14ac:dyDescent="0.15">
      <c r="D44">
        <f>D43+1</f>
        <v>10</v>
      </c>
      <c r="E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G44" t="s">
        <v>458</v>
      </c>
      <c r="J44">
        <v>22</v>
      </c>
    </row>
    <row r="45" spans="1:10" ht="23.25" customHeight="1" x14ac:dyDescent="0.15">
      <c r="D45">
        <f>D44+1</f>
        <v>11</v>
      </c>
      <c r="E45" t="s">
        <v>459</v>
      </c>
      <c r="F45" t="s">
        <v>424</v>
      </c>
      <c r="G45" t="str">
        <f>IF(TEMPLATE_SPHERE="TKO","Указывается режим работы организации.","")</f>
        <v/>
      </c>
      <c r="J45">
        <v>22</v>
      </c>
    </row>
    <row r="46" spans="1:10" ht="24" customHeight="1" x14ac:dyDescent="0.15">
      <c r="D46" t="str">
        <f>D45&amp;".1"</f>
        <v>11.1</v>
      </c>
      <c r="E46" t="str">
        <f>"режим работы регулируемой организации"&amp;IF(TEMPLATE_SPHERE="HEAT",", ЕТО, ТО","")</f>
        <v>режим работы регулируемой организации</v>
      </c>
      <c r="G46" t="s">
        <v>460</v>
      </c>
      <c r="J46">
        <v>23</v>
      </c>
    </row>
    <row r="47" spans="1:10" ht="24" customHeight="1" x14ac:dyDescent="0.15">
      <c r="A47" s="1"/>
      <c r="D47" t="str">
        <f>D45&amp;".2"</f>
        <v>11.2</v>
      </c>
      <c r="E47" t="s">
        <v>461</v>
      </c>
      <c r="G47" t="s">
        <v>462</v>
      </c>
      <c r="J47">
        <v>23</v>
      </c>
    </row>
    <row r="48" spans="1:10" ht="24" customHeight="1" x14ac:dyDescent="0.15">
      <c r="A48" s="1"/>
      <c r="D48" t="str">
        <f>D45&amp;".3"</f>
        <v>11.3</v>
      </c>
      <c r="E48" t="s">
        <v>463</v>
      </c>
      <c r="G48" t="s">
        <v>464</v>
      </c>
      <c r="J48">
        <v>23</v>
      </c>
    </row>
    <row r="49" spans="1:10" ht="24" customHeight="1" x14ac:dyDescent="0.15">
      <c r="A49" s="1"/>
      <c r="D49" t="str">
        <f>IF(TEMPLATE_SPHERE="TKO",D45&amp;".0",D45&amp;".4")</f>
        <v>11.4</v>
      </c>
      <c r="E49" t="s">
        <v>465</v>
      </c>
      <c r="G49" t="s">
        <v>466</v>
      </c>
      <c r="J49">
        <v>23</v>
      </c>
    </row>
    <row r="50" spans="1:10" ht="24" customHeight="1" x14ac:dyDescent="0.15">
      <c r="E50" t="s">
        <v>467</v>
      </c>
      <c r="G50" t="s">
        <v>468</v>
      </c>
      <c r="J50">
        <v>23</v>
      </c>
    </row>
    <row r="51" spans="1:10" ht="24" customHeight="1" x14ac:dyDescent="0.15">
      <c r="D51">
        <f>D45+1</f>
        <v>12</v>
      </c>
      <c r="E51" t="s">
        <v>469</v>
      </c>
      <c r="G5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J51">
        <v>23</v>
      </c>
    </row>
    <row r="52" spans="1:10" ht="11.45" customHeight="1" x14ac:dyDescent="0.15">
      <c r="J52">
        <v>11</v>
      </c>
    </row>
    <row r="53" spans="1:10" ht="31.5" customHeight="1" x14ac:dyDescent="0.15">
      <c r="C53" s="1"/>
      <c r="D53" s="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
      <c r="F53" s="1"/>
      <c r="G53" s="1"/>
      <c r="J53">
        <v>30</v>
      </c>
    </row>
    <row r="54" spans="1:10" ht="42" customHeight="1" x14ac:dyDescent="0.15">
      <c r="C54" s="1"/>
      <c r="D54" s="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
      <c r="F54" s="1"/>
      <c r="G54" s="1"/>
      <c r="J54">
        <v>40</v>
      </c>
    </row>
    <row r="55" spans="1:10" ht="11.45" customHeight="1" x14ac:dyDescent="0.15">
      <c r="J55">
        <v>11</v>
      </c>
    </row>
    <row r="56" spans="1:10" ht="28.5" customHeight="1" x14ac:dyDescent="0.15">
      <c r="J56">
        <v>27</v>
      </c>
    </row>
    <row r="57" spans="1:10" ht="11.45" customHeight="1" x14ac:dyDescent="0.15">
      <c r="J57">
        <v>11</v>
      </c>
    </row>
    <row r="58" spans="1:10" ht="40.9" customHeight="1" x14ac:dyDescent="0.15">
      <c r="J58">
        <v>39</v>
      </c>
    </row>
    <row r="59" spans="1:10" ht="28.5" customHeight="1" x14ac:dyDescent="0.15">
      <c r="J59">
        <v>27</v>
      </c>
    </row>
    <row r="60" spans="1:10" ht="11.25" hidden="1" customHeight="1" x14ac:dyDescent="0.15">
      <c r="A60" t="s">
        <v>84</v>
      </c>
      <c r="B60">
        <v>0</v>
      </c>
      <c r="C60">
        <v>3</v>
      </c>
      <c r="D60">
        <v>6</v>
      </c>
      <c r="E60">
        <v>52</v>
      </c>
      <c r="F60">
        <v>48</v>
      </c>
      <c r="G60">
        <v>121</v>
      </c>
      <c r="H60">
        <v>8</v>
      </c>
      <c r="I60">
        <v>64</v>
      </c>
      <c r="J6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x14ac:dyDescent="0.15"/>
  <cols>
    <col min="1" max="2" width="9.140625" hidden="1" customWidth="1"/>
    <col min="3" max="3" width="3" customWidth="1"/>
    <col min="4" max="4" width="5" customWidth="1"/>
    <col min="5" max="5" width="48" customWidth="1"/>
    <col min="6" max="6" width="38" customWidth="1"/>
    <col min="7" max="7" width="1.7109375" hidden="1" customWidth="1"/>
    <col min="8" max="11" width="19.85546875" hidden="1" customWidth="1"/>
    <col min="12" max="12" width="9.7109375" hidden="1" customWidth="1"/>
    <col min="13" max="18" width="19.85546875" hidden="1" customWidth="1"/>
    <col min="19" max="19" width="1.7109375" hidden="1" customWidth="1"/>
    <col min="20" max="22" width="19.85546875" customWidth="1"/>
    <col min="23" max="23" width="1.7109375" hidden="1" customWidth="1"/>
    <col min="24" max="26" width="19.85546875" hidden="1" customWidth="1"/>
    <col min="27" max="27" width="1.7109375" hidden="1" customWidth="1"/>
    <col min="28" max="29" width="19.85546875" hidden="1" customWidth="1"/>
    <col min="30" max="30" width="1.7109375" hidden="1" customWidth="1"/>
    <col min="31" max="31" width="103.7109375" hidden="1" customWidth="1"/>
    <col min="32" max="32" width="103.7109375" customWidth="1"/>
    <col min="33" max="34" width="103.7109375" hidden="1" customWidth="1"/>
    <col min="35" max="35" width="3" customWidth="1"/>
    <col min="36" max="38" width="10" customWidth="1"/>
    <col min="39" max="39" width="13.7109375" hidden="1" customWidth="1"/>
    <col min="40" max="40" width="15" customWidth="1"/>
    <col min="41" max="41" width="16" customWidth="1"/>
    <col min="42" max="45" width="10" customWidth="1"/>
    <col min="46" max="46" width="10.5703125" hidden="1"/>
  </cols>
  <sheetData>
    <row r="1" spans="4:46" ht="22.5" hidden="1" customHeight="1" x14ac:dyDescent="0.15">
      <c r="H1" s="1" t="s">
        <v>470</v>
      </c>
      <c r="I1" s="1"/>
      <c r="J1" s="1"/>
      <c r="K1" s="1"/>
      <c r="L1" s="1"/>
      <c r="M1" s="1"/>
      <c r="N1" s="1"/>
      <c r="O1" s="1"/>
      <c r="P1" s="1"/>
      <c r="Q1" s="1"/>
      <c r="R1" s="1"/>
      <c r="T1" s="1" t="s">
        <v>471</v>
      </c>
      <c r="U1" s="1"/>
      <c r="V1" s="1"/>
      <c r="X1" s="1" t="s">
        <v>472</v>
      </c>
      <c r="Y1" s="1"/>
      <c r="Z1" s="1"/>
      <c r="AB1" s="1" t="s">
        <v>473</v>
      </c>
      <c r="AC1" s="1"/>
      <c r="AT1" t="s">
        <v>14</v>
      </c>
    </row>
    <row r="2" spans="4:46" ht="14.25" hidden="1" customHeight="1" x14ac:dyDescent="0.15">
      <c r="AT2">
        <v>0</v>
      </c>
    </row>
    <row r="3" spans="4:46" ht="5.25" customHeight="1" x14ac:dyDescent="0.15">
      <c r="H3" t="s">
        <v>474</v>
      </c>
      <c r="AT3">
        <v>5</v>
      </c>
    </row>
    <row r="4" spans="4:46" ht="39.75" customHeight="1" x14ac:dyDescent="0.15">
      <c r="D4" s="1" t="str">
        <f>ORG_VD_NAME_FORM</f>
        <v>Форма 1. Информация об организации, осуществляющей водоотведение (общая информация)</v>
      </c>
      <c r="E4" s="1"/>
      <c r="F4" s="1"/>
      <c r="G4" s="1"/>
      <c r="H4" s="1"/>
      <c r="I4" s="1"/>
      <c r="J4" s="1"/>
      <c r="K4" s="1"/>
      <c r="L4" s="1"/>
      <c r="M4" s="1"/>
      <c r="N4" s="1"/>
      <c r="O4" s="1"/>
      <c r="P4" s="1"/>
      <c r="Q4" s="1"/>
      <c r="R4" s="1"/>
      <c r="AT4">
        <v>38</v>
      </c>
    </row>
    <row r="5" spans="4:46" ht="18" customHeight="1" x14ac:dyDescent="0.15">
      <c r="D5" s="1" t="str">
        <f>IF(org=0,"Не определено",org)</f>
        <v>КГУП "Примтеплоэнерго"</v>
      </c>
      <c r="E5" s="1"/>
      <c r="F5" s="1"/>
      <c r="G5" s="1"/>
      <c r="H5" s="1"/>
      <c r="I5" s="1"/>
      <c r="J5" s="1"/>
      <c r="K5" s="1"/>
      <c r="L5" s="1"/>
      <c r="M5" s="1"/>
      <c r="N5" s="1"/>
      <c r="O5" s="1"/>
      <c r="P5" s="1"/>
      <c r="Q5" s="1"/>
      <c r="R5" s="1"/>
      <c r="AT5">
        <v>17</v>
      </c>
    </row>
    <row r="6" spans="4:46" ht="11.45" customHeight="1" x14ac:dyDescent="0.15">
      <c r="AT6">
        <v>11</v>
      </c>
    </row>
    <row r="7" spans="4:46" ht="14.65" customHeight="1" x14ac:dyDescent="0.15">
      <c r="D7" s="1" t="s">
        <v>418</v>
      </c>
      <c r="E7" s="1"/>
      <c r="F7" s="1"/>
      <c r="G7" s="1"/>
      <c r="H7" s="1"/>
      <c r="I7" s="1"/>
      <c r="J7" s="1"/>
      <c r="K7" s="1"/>
      <c r="L7" s="1"/>
      <c r="M7" s="1"/>
      <c r="N7" s="1"/>
      <c r="O7" s="1"/>
      <c r="P7" s="1"/>
      <c r="Q7" s="1"/>
      <c r="R7" s="1"/>
      <c r="S7" s="1"/>
      <c r="T7" s="1"/>
      <c r="U7" s="1"/>
      <c r="V7" s="1"/>
      <c r="W7" s="1"/>
      <c r="X7" s="1"/>
      <c r="Y7" s="1"/>
      <c r="Z7" s="1"/>
      <c r="AA7" s="1"/>
      <c r="AB7" s="1"/>
      <c r="AC7" s="1"/>
      <c r="AD7" s="1"/>
      <c r="AE7" s="1" t="s">
        <v>419</v>
      </c>
      <c r="AF7" s="1" t="s">
        <v>419</v>
      </c>
      <c r="AG7" s="1" t="s">
        <v>419</v>
      </c>
      <c r="AH7" s="1" t="s">
        <v>419</v>
      </c>
      <c r="AT7">
        <v>14</v>
      </c>
    </row>
    <row r="8" spans="4:46" ht="27.4" customHeight="1" x14ac:dyDescent="0.15">
      <c r="D8" s="1" t="s">
        <v>90</v>
      </c>
      <c r="E8" s="1" t="str">
        <f>"Наименование "&amp;IF(TEMPLATE_SPHERE&lt;&gt;"HEAT","централизованной ","")&amp;"системы "&amp;TEMPLATE_SPHERE_RUS</f>
        <v>Наименование централизованной системы водоотведения</v>
      </c>
      <c r="F8" s="1" t="str">
        <f>IF(TEMPLATE_SPHERE&lt;&gt;"HEAT","Регулируемый вид деятельности","Вид регулируемой деятельности")</f>
        <v>Регулируемый вид деятельности</v>
      </c>
      <c r="H8" s="1" t="s">
        <v>475</v>
      </c>
      <c r="I8" s="1" t="s">
        <v>476</v>
      </c>
      <c r="J8" s="1" t="s">
        <v>477</v>
      </c>
      <c r="K8" s="1"/>
      <c r="L8" s="1"/>
      <c r="M8" s="1"/>
      <c r="N8" s="1" t="s">
        <v>478</v>
      </c>
      <c r="O8" s="1"/>
      <c r="P8" s="1" t="s">
        <v>479</v>
      </c>
      <c r="Q8" s="1"/>
      <c r="R8" s="1" t="s">
        <v>480</v>
      </c>
      <c r="T8" s="1" t="s">
        <v>481</v>
      </c>
      <c r="U8" s="1" t="s">
        <v>482</v>
      </c>
      <c r="V8" s="1" t="s">
        <v>483</v>
      </c>
      <c r="X8" s="1" t="s">
        <v>484</v>
      </c>
      <c r="Y8" s="1" t="s">
        <v>485</v>
      </c>
      <c r="Z8" s="1" t="s">
        <v>486</v>
      </c>
      <c r="AB8" s="1" t="s">
        <v>487</v>
      </c>
      <c r="AC8" s="1" t="s">
        <v>480</v>
      </c>
      <c r="AE8" s="1"/>
      <c r="AF8" s="1"/>
      <c r="AG8" s="1"/>
      <c r="AH8" s="1"/>
      <c r="AT8">
        <v>26</v>
      </c>
    </row>
    <row r="9" spans="4:46" ht="46.15" customHeight="1" x14ac:dyDescent="0.15">
      <c r="D9" s="1"/>
      <c r="E9" s="1"/>
      <c r="F9" s="1"/>
      <c r="H9" s="1"/>
      <c r="I9" s="1"/>
      <c r="J9" t="s">
        <v>488</v>
      </c>
      <c r="K9" t="s">
        <v>489</v>
      </c>
      <c r="L9" t="s">
        <v>490</v>
      </c>
      <c r="M9" t="s">
        <v>491</v>
      </c>
      <c r="N9" t="s">
        <v>492</v>
      </c>
      <c r="O9" t="s">
        <v>491</v>
      </c>
      <c r="P9" t="s">
        <v>493</v>
      </c>
      <c r="Q9" t="s">
        <v>491</v>
      </c>
      <c r="R9" s="1"/>
      <c r="T9" s="1"/>
      <c r="U9" s="1"/>
      <c r="V9" s="1"/>
      <c r="X9" s="1"/>
      <c r="Y9" s="1"/>
      <c r="Z9" s="1"/>
      <c r="AB9" s="1"/>
      <c r="AC9" s="1"/>
      <c r="AE9" s="1"/>
      <c r="AF9" s="1"/>
      <c r="AG9" s="1"/>
      <c r="AH9" s="1"/>
      <c r="AT9">
        <v>44</v>
      </c>
    </row>
    <row r="10" spans="4:46" ht="12" hidden="1" customHeight="1" x14ac:dyDescent="0.15">
      <c r="AT10">
        <v>0</v>
      </c>
    </row>
    <row r="11" spans="4:46" ht="11.25" hidden="1" customHeight="1" x14ac:dyDescent="0.15">
      <c r="D11" t="s">
        <v>494</v>
      </c>
      <c r="AT11">
        <v>0</v>
      </c>
    </row>
    <row r="12" spans="4:46" ht="14.65" customHeight="1" x14ac:dyDescent="0.15">
      <c r="D12" t="s">
        <v>101</v>
      </c>
      <c r="E12" t="s">
        <v>28</v>
      </c>
      <c r="AE12" s="1" t="s">
        <v>495</v>
      </c>
      <c r="AF12" s="1" t="s">
        <v>496</v>
      </c>
      <c r="AG12" s="1" t="s">
        <v>497</v>
      </c>
      <c r="AH12" s="1" t="s">
        <v>498</v>
      </c>
      <c r="AP12" t="s">
        <v>499</v>
      </c>
      <c r="AQ12" t="s">
        <v>499</v>
      </c>
      <c r="AT12">
        <v>14</v>
      </c>
    </row>
    <row r="13" spans="4:46" ht="18" customHeight="1" x14ac:dyDescent="0.15">
      <c r="E13" t="str">
        <f>IF(TITLE_DIFFERENTIATION_TYPE="нет","","Добавить систему")</f>
        <v/>
      </c>
      <c r="F13" t="str">
        <f>IF(TITLE_DIFFERENTIATION_TYPE="нет","Добавить вид деятельности","")</f>
        <v>Добавить вид деятельности</v>
      </c>
      <c r="AE13" s="1"/>
      <c r="AF13" s="1"/>
      <c r="AG13" s="1"/>
      <c r="AH13" s="1"/>
      <c r="AT13">
        <v>17</v>
      </c>
    </row>
    <row r="14" spans="4:46" ht="14.65" customHeight="1" x14ac:dyDescent="0.15">
      <c r="AT14">
        <v>14</v>
      </c>
    </row>
    <row r="15" spans="4:46" ht="14.65" customHeight="1" x14ac:dyDescent="0.15">
      <c r="AT15">
        <v>14</v>
      </c>
    </row>
    <row r="16" spans="4:46" ht="14.65" customHeight="1" x14ac:dyDescent="0.15">
      <c r="AT16">
        <v>14</v>
      </c>
    </row>
    <row r="17" spans="1:46" ht="14.65" customHeight="1" x14ac:dyDescent="0.15">
      <c r="AT17">
        <v>14</v>
      </c>
    </row>
    <row r="18" spans="1:46" ht="22.5" hidden="1" customHeight="1" x14ac:dyDescent="0.15">
      <c r="A18" t="s">
        <v>84</v>
      </c>
      <c r="B18">
        <v>0</v>
      </c>
      <c r="C18">
        <v>3</v>
      </c>
      <c r="D18">
        <v>5</v>
      </c>
      <c r="E18">
        <v>48</v>
      </c>
      <c r="F18">
        <v>38</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3</v>
      </c>
      <c r="AJ18">
        <v>10</v>
      </c>
      <c r="AK18">
        <v>10</v>
      </c>
      <c r="AL18">
        <v>10</v>
      </c>
      <c r="AM18">
        <v>0</v>
      </c>
      <c r="AN18">
        <v>15</v>
      </c>
      <c r="AO18">
        <v>16</v>
      </c>
      <c r="AP18">
        <v>10</v>
      </c>
      <c r="AQ18">
        <v>10</v>
      </c>
      <c r="AR18">
        <v>10</v>
      </c>
      <c r="AS18">
        <v>10</v>
      </c>
      <c r="AT18">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x14ac:dyDescent="0.15"/>
  <cols>
    <col min="1" max="2" width="9.140625" hidden="1" customWidth="1"/>
    <col min="3" max="3" width="3" customWidth="1"/>
    <col min="4" max="4" width="5" customWidth="1"/>
    <col min="5" max="5" width="38" customWidth="1"/>
    <col min="6" max="7" width="3" customWidth="1"/>
    <col min="8" max="8" width="38" customWidth="1"/>
    <col min="9" max="9" width="35" customWidth="1"/>
    <col min="10" max="10" width="103" customWidth="1"/>
    <col min="11" max="11" width="3" customWidth="1"/>
    <col min="12" max="14" width="10" customWidth="1"/>
    <col min="15" max="15" width="13" customWidth="1"/>
    <col min="16" max="16" width="15" customWidth="1"/>
    <col min="17" max="17" width="16" customWidth="1"/>
    <col min="18" max="21" width="10" customWidth="1"/>
    <col min="22" max="22" width="10.5703125" hidden="1"/>
  </cols>
  <sheetData>
    <row r="1" spans="4:22" ht="22.5" hidden="1" customHeight="1" x14ac:dyDescent="0.15">
      <c r="H1" s="1" t="s">
        <v>470</v>
      </c>
      <c r="I1" s="1"/>
      <c r="V1" t="s">
        <v>14</v>
      </c>
    </row>
    <row r="2" spans="4:22" ht="14.25" hidden="1" customHeight="1" x14ac:dyDescent="0.15">
      <c r="D2" s="1" t="s">
        <v>101</v>
      </c>
      <c r="E2" s="1"/>
      <c r="G2" t="s">
        <v>101</v>
      </c>
      <c r="O2" t="s">
        <v>500</v>
      </c>
      <c r="R2" t="s">
        <v>499</v>
      </c>
      <c r="S2" t="s">
        <v>499</v>
      </c>
      <c r="V2">
        <v>0</v>
      </c>
    </row>
    <row r="3" spans="4:22" ht="14.25" hidden="1" customHeight="1" x14ac:dyDescent="0.15">
      <c r="D3" s="1"/>
      <c r="E3" s="1"/>
      <c r="H3" t="s">
        <v>501</v>
      </c>
      <c r="V3">
        <v>0</v>
      </c>
    </row>
    <row r="4" spans="4:22" ht="14.25" hidden="1" customHeight="1" x14ac:dyDescent="0.15">
      <c r="V4">
        <v>0</v>
      </c>
    </row>
    <row r="5" spans="4:22" ht="5.25" customHeight="1" x14ac:dyDescent="0.15">
      <c r="H5" t="s">
        <v>474</v>
      </c>
      <c r="V5">
        <v>5</v>
      </c>
    </row>
    <row r="6" spans="4:22" ht="29.25" customHeight="1" x14ac:dyDescent="0.15">
      <c r="D6" s="1" t="s">
        <v>502</v>
      </c>
      <c r="E6" s="1"/>
      <c r="F6" s="1"/>
      <c r="G6" s="1"/>
      <c r="H6" s="1"/>
      <c r="I6" s="1"/>
      <c r="V6">
        <v>28</v>
      </c>
    </row>
    <row r="7" spans="4:22" ht="18" customHeight="1" x14ac:dyDescent="0.15">
      <c r="D7" s="1" t="str">
        <f>IF(org=0,"Не определено",org)</f>
        <v>КГУП "Примтеплоэнерго"</v>
      </c>
      <c r="E7" s="1"/>
      <c r="F7" s="1"/>
      <c r="G7" s="1"/>
      <c r="H7" s="1"/>
      <c r="I7" s="1"/>
      <c r="V7">
        <v>17</v>
      </c>
    </row>
    <row r="8" spans="4:22" ht="5.25" customHeight="1" x14ac:dyDescent="0.15">
      <c r="V8">
        <v>5</v>
      </c>
    </row>
    <row r="9" spans="4:22" ht="5.25" customHeight="1" x14ac:dyDescent="0.15">
      <c r="V9">
        <v>5</v>
      </c>
    </row>
    <row r="10" spans="4:22" ht="14.65" customHeight="1" x14ac:dyDescent="0.15">
      <c r="D10" s="1" t="s">
        <v>418</v>
      </c>
      <c r="E10" s="1"/>
      <c r="F10" s="1"/>
      <c r="G10" s="1"/>
      <c r="H10" s="1"/>
      <c r="I10" s="1"/>
      <c r="J10" s="1" t="s">
        <v>419</v>
      </c>
      <c r="V10">
        <v>14</v>
      </c>
    </row>
    <row r="11" spans="4:22" ht="27.4" customHeight="1" x14ac:dyDescent="0.15">
      <c r="D11" s="1" t="s">
        <v>90</v>
      </c>
      <c r="E11" s="1" t="s">
        <v>165</v>
      </c>
      <c r="F11" s="1" t="s">
        <v>90</v>
      </c>
      <c r="G11" s="1"/>
      <c r="H11" s="1" t="s">
        <v>503</v>
      </c>
      <c r="I11" s="1" t="s">
        <v>504</v>
      </c>
      <c r="J11" s="1"/>
      <c r="V11">
        <v>26</v>
      </c>
    </row>
    <row r="12" spans="4:22" ht="14.65" customHeight="1" x14ac:dyDescent="0.15">
      <c r="D12" s="1"/>
      <c r="E12" s="1"/>
      <c r="F12" s="1"/>
      <c r="G12" s="1"/>
      <c r="H12" s="1"/>
      <c r="I12" s="1"/>
      <c r="J12" s="1"/>
      <c r="V12">
        <v>14</v>
      </c>
    </row>
    <row r="13" spans="4:22" ht="11.25" hidden="1" customHeight="1" x14ac:dyDescent="0.15">
      <c r="D13" t="s">
        <v>494</v>
      </c>
      <c r="V13">
        <v>0</v>
      </c>
    </row>
    <row r="14" spans="4:22" ht="14.65" customHeight="1" x14ac:dyDescent="0.15">
      <c r="D14" s="1" t="s">
        <v>101</v>
      </c>
      <c r="E14" s="1"/>
      <c r="G14" t="s">
        <v>101</v>
      </c>
      <c r="J14" s="1" t="s">
        <v>505</v>
      </c>
      <c r="R14" t="s">
        <v>499</v>
      </c>
      <c r="S14" t="s">
        <v>499</v>
      </c>
      <c r="V14">
        <v>14</v>
      </c>
    </row>
    <row r="15" spans="4:22" ht="14.65" customHeight="1" x14ac:dyDescent="0.15">
      <c r="D15" s="1"/>
      <c r="E15" s="1"/>
      <c r="H15" t="s">
        <v>501</v>
      </c>
      <c r="J15" s="1"/>
      <c r="V15">
        <v>14</v>
      </c>
    </row>
    <row r="16" spans="4:22" ht="14.65" customHeight="1" x14ac:dyDescent="0.15">
      <c r="E16" t="s">
        <v>177</v>
      </c>
      <c r="J16" s="1"/>
      <c r="V16">
        <v>14</v>
      </c>
    </row>
    <row r="17" spans="1:22" ht="14.65" customHeight="1" x14ac:dyDescent="0.15">
      <c r="V17">
        <v>14</v>
      </c>
    </row>
    <row r="18" spans="1:22" ht="22.5" hidden="1" customHeight="1" x14ac:dyDescent="0.15">
      <c r="A18" t="s">
        <v>84</v>
      </c>
      <c r="B18">
        <v>0</v>
      </c>
      <c r="C18">
        <v>3</v>
      </c>
      <c r="D18">
        <v>5</v>
      </c>
      <c r="E18">
        <v>38</v>
      </c>
      <c r="F18">
        <v>3</v>
      </c>
      <c r="G18">
        <v>3</v>
      </c>
      <c r="H18">
        <v>38</v>
      </c>
      <c r="I18">
        <v>35</v>
      </c>
      <c r="J18">
        <v>103</v>
      </c>
      <c r="K18">
        <v>3</v>
      </c>
      <c r="L18">
        <v>10</v>
      </c>
      <c r="M18">
        <v>10</v>
      </c>
      <c r="N18">
        <v>10</v>
      </c>
      <c r="O18">
        <v>13</v>
      </c>
      <c r="P18">
        <v>15</v>
      </c>
      <c r="Q18">
        <v>16</v>
      </c>
      <c r="R18">
        <v>10</v>
      </c>
      <c r="S18">
        <v>10</v>
      </c>
      <c r="T18">
        <v>10</v>
      </c>
      <c r="U18">
        <v>10</v>
      </c>
      <c r="V18">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x14ac:dyDescent="0.15"/>
  <cols>
    <col min="1" max="3" width="9.140625" hidden="1" customWidth="1"/>
    <col min="4" max="4" width="3" customWidth="1"/>
    <col min="5" max="5" width="6" customWidth="1"/>
    <col min="6" max="6" width="1.7109375" hidden="1" customWidth="1"/>
    <col min="7" max="8" width="30" customWidth="1"/>
    <col min="9" max="9" width="8" customWidth="1"/>
    <col min="10" max="10" width="12.140625" customWidth="1"/>
    <col min="11" max="11" width="46" customWidth="1"/>
    <col min="12" max="12" width="100" customWidth="1"/>
    <col min="13" max="13" width="7" customWidth="1"/>
    <col min="14" max="22" width="10" customWidth="1"/>
    <col min="23" max="23" width="10.5703125" hidden="1"/>
  </cols>
  <sheetData>
    <row r="1" spans="1:23" ht="5.25" hidden="1" customHeight="1" x14ac:dyDescent="0.15">
      <c r="G1" t="s">
        <v>85</v>
      </c>
      <c r="H1" t="s">
        <v>86</v>
      </c>
      <c r="I1" t="s">
        <v>87</v>
      </c>
      <c r="P1" t="s">
        <v>85</v>
      </c>
      <c r="Q1" t="s">
        <v>86</v>
      </c>
      <c r="R1" t="s">
        <v>87</v>
      </c>
      <c r="W1" t="s">
        <v>14</v>
      </c>
    </row>
    <row r="2" spans="1:23" ht="5.25" hidden="1" customHeight="1" x14ac:dyDescent="0.15">
      <c r="W2">
        <v>0</v>
      </c>
    </row>
    <row r="3" spans="1:23" ht="5.25" customHeight="1" x14ac:dyDescent="0.15">
      <c r="W3">
        <v>5</v>
      </c>
    </row>
    <row r="4" spans="1:23" ht="23.25" customHeight="1" x14ac:dyDescent="0.15">
      <c r="E4" s="1" t="s">
        <v>506</v>
      </c>
      <c r="F4" s="1"/>
      <c r="G4" s="1"/>
      <c r="H4" s="1"/>
      <c r="I4" s="1"/>
      <c r="W4">
        <v>22</v>
      </c>
    </row>
    <row r="5" spans="1:23" ht="18" customHeight="1" x14ac:dyDescent="0.15">
      <c r="E5" s="1" t="str">
        <f>IF(org=0,"Не определено",org)</f>
        <v>КГУП "Примтеплоэнерго"</v>
      </c>
      <c r="F5" s="1"/>
      <c r="G5" s="1"/>
      <c r="H5" s="1"/>
      <c r="I5" s="1"/>
      <c r="W5">
        <v>17</v>
      </c>
    </row>
    <row r="6" spans="1:23" ht="11.45" customHeight="1" x14ac:dyDescent="0.15">
      <c r="W6">
        <v>11</v>
      </c>
    </row>
    <row r="7" spans="1:23" ht="14.65" customHeight="1" x14ac:dyDescent="0.15">
      <c r="E7" s="1" t="s">
        <v>418</v>
      </c>
      <c r="F7" s="1"/>
      <c r="G7" s="1"/>
      <c r="H7" s="1"/>
      <c r="I7" s="1"/>
      <c r="J7" s="1"/>
      <c r="K7" s="1"/>
      <c r="L7" s="1" t="s">
        <v>419</v>
      </c>
      <c r="W7">
        <v>14</v>
      </c>
    </row>
    <row r="8" spans="1:23" ht="48.2" customHeight="1" x14ac:dyDescent="0.15">
      <c r="E8" t="s">
        <v>90</v>
      </c>
      <c r="G8" t="s">
        <v>88</v>
      </c>
      <c r="H8" t="s">
        <v>89</v>
      </c>
      <c r="I8" t="s">
        <v>87</v>
      </c>
      <c r="J8" t="s">
        <v>507</v>
      </c>
      <c r="K8" t="s">
        <v>508</v>
      </c>
      <c r="L8" s="1"/>
      <c r="W8">
        <v>46</v>
      </c>
    </row>
    <row r="9" spans="1:23" ht="12" hidden="1" customHeight="1" x14ac:dyDescent="0.15">
      <c r="W9">
        <v>0</v>
      </c>
    </row>
    <row r="10" spans="1:23" ht="14.25" hidden="1" customHeight="1" x14ac:dyDescent="0.15">
      <c r="E10">
        <v>0</v>
      </c>
      <c r="L10" s="1" t="s">
        <v>509</v>
      </c>
      <c r="W10">
        <v>0</v>
      </c>
    </row>
    <row r="11" spans="1:23" ht="15" hidden="1" customHeight="1" x14ac:dyDescent="0.15">
      <c r="A11" s="1"/>
      <c r="L11" s="1"/>
      <c r="W11">
        <v>0</v>
      </c>
    </row>
    <row r="12" spans="1:23" ht="15" customHeight="1" x14ac:dyDescent="0.15">
      <c r="A12" s="1"/>
      <c r="E12">
        <v>1</v>
      </c>
      <c r="F12">
        <v>23</v>
      </c>
      <c r="J12" t="s">
        <v>63</v>
      </c>
      <c r="K12" t="s">
        <v>28</v>
      </c>
      <c r="L12" s="1"/>
      <c r="P12" t="s">
        <v>510</v>
      </c>
      <c r="Q12" t="s">
        <v>511</v>
      </c>
      <c r="R12" t="s">
        <v>512</v>
      </c>
      <c r="S12" t="s">
        <v>513</v>
      </c>
      <c r="W12">
        <v>14</v>
      </c>
    </row>
    <row r="13" spans="1:23" ht="15.75" customHeight="1" x14ac:dyDescent="0.15">
      <c r="A13" s="1"/>
      <c r="G13" t="s">
        <v>104</v>
      </c>
      <c r="L13" s="1"/>
      <c r="W13">
        <v>15</v>
      </c>
    </row>
    <row r="14" spans="1:23" ht="11.45" customHeight="1" x14ac:dyDescent="0.15">
      <c r="W14">
        <v>11</v>
      </c>
    </row>
    <row r="15" spans="1:23" ht="14.65" customHeight="1" x14ac:dyDescent="0.15">
      <c r="G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W15">
        <v>14</v>
      </c>
    </row>
    <row r="16" spans="1:23" ht="14.65" customHeight="1" x14ac:dyDescent="0.15">
      <c r="W16">
        <v>14</v>
      </c>
    </row>
    <row r="17" spans="1:23" ht="14.65" customHeight="1" x14ac:dyDescent="0.15">
      <c r="W17">
        <v>14</v>
      </c>
    </row>
    <row r="18" spans="1:23" ht="14.65" customHeight="1" x14ac:dyDescent="0.15">
      <c r="W18">
        <v>14</v>
      </c>
    </row>
    <row r="19" spans="1:23" ht="22.5" hidden="1" customHeight="1" x14ac:dyDescent="0.15">
      <c r="A19" t="s">
        <v>84</v>
      </c>
      <c r="B19">
        <v>0</v>
      </c>
      <c r="C19">
        <v>0</v>
      </c>
      <c r="D19">
        <v>3</v>
      </c>
      <c r="E19">
        <v>6</v>
      </c>
      <c r="F19">
        <v>0</v>
      </c>
      <c r="G19">
        <v>30</v>
      </c>
      <c r="H19">
        <v>30</v>
      </c>
      <c r="I19">
        <v>8</v>
      </c>
      <c r="J19">
        <v>12</v>
      </c>
      <c r="K19">
        <v>46</v>
      </c>
      <c r="L19">
        <v>100</v>
      </c>
      <c r="M19">
        <v>7</v>
      </c>
      <c r="N19">
        <v>10</v>
      </c>
      <c r="O19">
        <v>10</v>
      </c>
      <c r="P19">
        <v>10</v>
      </c>
      <c r="Q19">
        <v>10</v>
      </c>
      <c r="R19">
        <v>10</v>
      </c>
      <c r="S19">
        <v>10</v>
      </c>
      <c r="T19">
        <v>10</v>
      </c>
      <c r="U19">
        <v>10</v>
      </c>
      <c r="V19">
        <v>10</v>
      </c>
      <c r="W19">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47.25" hidden="1" customHeight="1" x14ac:dyDescent="0.15">
      <c r="E6" s="1"/>
      <c r="F6" s="1"/>
      <c r="G6" s="1"/>
      <c r="H6" s="1"/>
      <c r="I6" s="1" t="e">
        <f>S5&amp;".1"</f>
        <v>#N/A</v>
      </c>
      <c r="L6" t="s">
        <v>521</v>
      </c>
      <c r="P6" s="1">
        <v>1</v>
      </c>
      <c r="S6" t="e">
        <f>$I6</f>
        <v>#N/A</v>
      </c>
      <c r="T6" t="s">
        <v>522</v>
      </c>
      <c r="V6" s="1"/>
      <c r="W6" s="1"/>
      <c r="X6" s="1"/>
      <c r="Y6" s="1"/>
      <c r="Z6" s="1"/>
      <c r="AA6" s="1"/>
      <c r="AB6" s="1"/>
      <c r="AC6" s="1"/>
      <c r="AD6" s="1"/>
      <c r="AE6" s="1"/>
      <c r="AF6" s="1"/>
      <c r="AG6" s="1"/>
      <c r="AH6" s="1"/>
      <c r="AI6" s="1"/>
      <c r="AJ6" s="1"/>
      <c r="AK6" s="1"/>
      <c r="AL6" s="1"/>
      <c r="AM6" t="s">
        <v>523</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T12" t="s">
        <v>531</v>
      </c>
      <c r="AP12" t="str">
        <f t="shared" si="0"/>
        <v>Добавить схему подключения</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t="s">
        <v>550</v>
      </c>
      <c r="X40" s="1" t="s">
        <v>551</v>
      </c>
      <c r="Y40" s="1"/>
      <c r="Z40" s="1" t="s">
        <v>552</v>
      </c>
      <c r="AA40" s="1"/>
      <c r="AB40" s="1"/>
      <c r="AC40" s="1"/>
      <c r="AD40" s="1" t="s">
        <v>549</v>
      </c>
      <c r="AE40" s="1" t="s">
        <v>550</v>
      </c>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4" customHeight="1" x14ac:dyDescent="0.15">
      <c r="A43" t="s">
        <v>207</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23</v>
      </c>
    </row>
    <row r="44" spans="1:45" ht="24" customHeight="1" x14ac:dyDescent="0.15">
      <c r="A44" t="s">
        <v>207</v>
      </c>
      <c r="B44" t="s">
        <v>208</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23</v>
      </c>
    </row>
    <row r="45" spans="1:45" ht="24" customHeight="1" x14ac:dyDescent="0.15">
      <c r="A45" t="s">
        <v>207</v>
      </c>
      <c r="B45" t="s">
        <v>208</v>
      </c>
      <c r="C45" t="s">
        <v>209</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4" customHeight="1" x14ac:dyDescent="0.15">
      <c r="A46" t="s">
        <v>207</v>
      </c>
      <c r="B46" t="s">
        <v>208</v>
      </c>
      <c r="C46" t="s">
        <v>209</v>
      </c>
      <c r="D46" t="s">
        <v>210</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23</v>
      </c>
    </row>
    <row r="47" spans="1:45" ht="49.5" customHeight="1" x14ac:dyDescent="0.15">
      <c r="A47" t="s">
        <v>207</v>
      </c>
      <c r="B47" t="s">
        <v>208</v>
      </c>
      <c r="C47" t="s">
        <v>209</v>
      </c>
      <c r="D47" t="s">
        <v>210</v>
      </c>
      <c r="E47" s="1"/>
      <c r="F47" s="1"/>
      <c r="G47" s="1"/>
      <c r="H47" s="1"/>
      <c r="I47" s="1" t="str">
        <f>S46&amp;".1"</f>
        <v>....1</v>
      </c>
      <c r="L47" t="s">
        <v>521</v>
      </c>
      <c r="P47" s="1">
        <v>1</v>
      </c>
      <c r="S47" t="str">
        <f>$I47</f>
        <v>....1</v>
      </c>
      <c r="T47" t="s">
        <v>522</v>
      </c>
      <c r="V47" s="1"/>
      <c r="W47" s="1"/>
      <c r="X47" s="1"/>
      <c r="Y47" s="1"/>
      <c r="Z47" s="1"/>
      <c r="AA47" s="1"/>
      <c r="AB47" s="1"/>
      <c r="AC47" s="1"/>
      <c r="AD47" s="1"/>
      <c r="AE47" s="1"/>
      <c r="AF47" s="1"/>
      <c r="AG47" s="1"/>
      <c r="AH47" s="1"/>
      <c r="AI47" s="1"/>
      <c r="AJ47" s="1"/>
      <c r="AK47" s="1"/>
      <c r="AL47" s="1"/>
      <c r="AM47" t="s">
        <v>523</v>
      </c>
      <c r="AP47" t="str">
        <f t="shared" si="1"/>
        <v>Схема подключения теплопотребляющей установки к коллектору источника тепловой энергии</v>
      </c>
      <c r="AS47">
        <v>47</v>
      </c>
    </row>
    <row r="48" spans="1:45" ht="24" customHeight="1" x14ac:dyDescent="0.15">
      <c r="A48" t="s">
        <v>207</v>
      </c>
      <c r="B48" t="s">
        <v>208</v>
      </c>
      <c r="C48" t="s">
        <v>209</v>
      </c>
      <c r="D48" t="s">
        <v>210</v>
      </c>
      <c r="E48" s="1"/>
      <c r="F48" s="1"/>
      <c r="G48" s="1"/>
      <c r="H48" s="1"/>
      <c r="I48" s="1"/>
      <c r="J48" s="1" t="str">
        <f>I47&amp;".1"</f>
        <v>....1.1</v>
      </c>
      <c r="L48" t="s">
        <v>524</v>
      </c>
      <c r="P48" s="1"/>
      <c r="Q48" s="1">
        <v>1</v>
      </c>
      <c r="S48" t="str">
        <f>$J48</f>
        <v>....1.1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23</v>
      </c>
    </row>
    <row r="49" spans="1:45" ht="24" customHeight="1" x14ac:dyDescent="0.15">
      <c r="A49" t="s">
        <v>207</v>
      </c>
      <c r="B49" t="s">
        <v>208</v>
      </c>
      <c r="C49" t="s">
        <v>209</v>
      </c>
      <c r="D49" t="s">
        <v>210</v>
      </c>
      <c r="E49" s="1"/>
      <c r="F49" s="1"/>
      <c r="G49" s="1"/>
      <c r="H49" s="1"/>
      <c r="I49" s="1"/>
      <c r="J49" s="1"/>
      <c r="K49" s="1" t="str">
        <f>J48&amp;".1"</f>
        <v>....1.1.1</v>
      </c>
      <c r="L49" t="s">
        <v>527</v>
      </c>
      <c r="P49" s="1"/>
      <c r="Q49" s="1"/>
      <c r="R49">
        <v>1</v>
      </c>
      <c r="S49" t="str">
        <f>$K49</f>
        <v>....1.1.1</v>
      </c>
      <c r="Z49" s="1"/>
      <c r="AA49" s="1" t="s">
        <v>63</v>
      </c>
      <c r="AB49" s="1"/>
      <c r="AC49" s="1" t="s">
        <v>63</v>
      </c>
      <c r="AH49" s="1"/>
      <c r="AI49" s="1" t="s">
        <v>63</v>
      </c>
      <c r="AJ49" s="1"/>
      <c r="AK49" s="1" t="s">
        <v>63</v>
      </c>
      <c r="AM49" s="1" t="s">
        <v>528</v>
      </c>
      <c r="AN49" t="e">
        <f ca="1">STRCHECKDATE(V50:AL50)</f>
        <v>#NAME?</v>
      </c>
      <c r="AP49" t="str">
        <f t="shared" si="1"/>
        <v/>
      </c>
      <c r="AS49">
        <v>23</v>
      </c>
    </row>
    <row r="50" spans="1:45" ht="1.1499999999999999" customHeight="1" x14ac:dyDescent="0.15">
      <c r="A50" t="s">
        <v>207</v>
      </c>
      <c r="B50" t="s">
        <v>208</v>
      </c>
      <c r="C50" t="s">
        <v>209</v>
      </c>
      <c r="D50" t="s">
        <v>210</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207</v>
      </c>
      <c r="B51" t="s">
        <v>208</v>
      </c>
      <c r="C51" t="s">
        <v>209</v>
      </c>
      <c r="D51" t="s">
        <v>210</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207</v>
      </c>
      <c r="B52" t="s">
        <v>208</v>
      </c>
      <c r="C52" t="s">
        <v>209</v>
      </c>
      <c r="D52" t="s">
        <v>210</v>
      </c>
      <c r="E52" s="1"/>
      <c r="F52" s="1"/>
      <c r="G52" s="1"/>
      <c r="H52" s="1"/>
      <c r="I52" s="1"/>
      <c r="P52" s="1"/>
      <c r="T52" t="s">
        <v>530</v>
      </c>
      <c r="AP52" t="str">
        <f t="shared" si="1"/>
        <v>Добавить группу потребителей</v>
      </c>
      <c r="AS52">
        <v>11</v>
      </c>
    </row>
    <row r="53" spans="1:45" ht="14.65" customHeight="1" x14ac:dyDescent="0.15">
      <c r="A53" t="s">
        <v>207</v>
      </c>
      <c r="B53" t="s">
        <v>208</v>
      </c>
      <c r="C53" t="s">
        <v>209</v>
      </c>
      <c r="D53" t="s">
        <v>210</v>
      </c>
      <c r="E53" s="1"/>
      <c r="F53" s="1"/>
      <c r="G53" s="1"/>
      <c r="H53" s="1"/>
      <c r="T53" t="s">
        <v>531</v>
      </c>
      <c r="AP53" t="str">
        <f t="shared" si="1"/>
        <v>Добавить схему подключения</v>
      </c>
      <c r="AS53">
        <v>14</v>
      </c>
    </row>
    <row r="54" spans="1:45" ht="1.1499999999999999" customHeight="1" x14ac:dyDescent="0.15">
      <c r="A54" t="s">
        <v>207</v>
      </c>
      <c r="B54" t="s">
        <v>208</v>
      </c>
      <c r="C54" t="s">
        <v>209</v>
      </c>
      <c r="E54" s="1"/>
      <c r="F54" s="1"/>
      <c r="G54" s="1"/>
      <c r="T54" t="s">
        <v>532</v>
      </c>
      <c r="AP54" t="str">
        <f t="shared" si="1"/>
        <v>Добавить источник для дифференциации</v>
      </c>
      <c r="AS54">
        <v>1</v>
      </c>
    </row>
    <row r="55" spans="1:45" ht="1.1499999999999999" customHeight="1" x14ac:dyDescent="0.15">
      <c r="A55" t="s">
        <v>207</v>
      </c>
      <c r="B55" t="s">
        <v>208</v>
      </c>
      <c r="E55" s="1"/>
      <c r="F55" s="1"/>
      <c r="T55" t="s">
        <v>321</v>
      </c>
      <c r="AP55" t="str">
        <f t="shared" si="1"/>
        <v>Добавить централизованную систему для дифференциации</v>
      </c>
      <c r="AS55">
        <v>1</v>
      </c>
    </row>
    <row r="56" spans="1:45" ht="1.1499999999999999" customHeight="1" x14ac:dyDescent="0.15">
      <c r="A56" t="s">
        <v>207</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7.150000000000006" customHeight="1" x14ac:dyDescent="0.15">
      <c r="T60" s="1"/>
      <c r="U60" s="1"/>
      <c r="V60" s="1"/>
      <c r="W60" s="1"/>
      <c r="X60" s="1"/>
      <c r="Y60" s="1"/>
      <c r="Z60" s="1"/>
      <c r="AA60" s="1"/>
      <c r="AB60" s="1"/>
      <c r="AC60" s="1"/>
      <c r="AD60" s="1"/>
      <c r="AE60" s="1"/>
      <c r="AF60" s="1"/>
      <c r="AG60" s="1"/>
      <c r="AH60" s="1"/>
      <c r="AI60" s="1"/>
      <c r="AJ60" s="1"/>
      <c r="AK60" s="1"/>
      <c r="AL60" s="1"/>
      <c r="AM60" s="1"/>
      <c r="AS60">
        <v>64</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35</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47.25" hidden="1" customHeight="1" x14ac:dyDescent="0.15">
      <c r="E6" s="1"/>
      <c r="F6" s="1"/>
      <c r="G6" s="1"/>
      <c r="H6" s="1"/>
      <c r="I6" s="1" t="e">
        <f>S5&amp;".1"</f>
        <v>#N/A</v>
      </c>
      <c r="L6" t="s">
        <v>521</v>
      </c>
      <c r="P6" s="1">
        <v>1</v>
      </c>
      <c r="S6" t="e">
        <f>$I6</f>
        <v>#N/A</v>
      </c>
      <c r="T6" t="s">
        <v>522</v>
      </c>
      <c r="V6" s="1"/>
      <c r="W6" s="1"/>
      <c r="X6" s="1"/>
      <c r="Y6" s="1"/>
      <c r="Z6" s="1"/>
      <c r="AA6" s="1"/>
      <c r="AB6" s="1"/>
      <c r="AC6" s="1"/>
      <c r="AD6" s="1"/>
      <c r="AE6" s="1"/>
      <c r="AF6" s="1"/>
      <c r="AG6" s="1"/>
      <c r="AH6" s="1"/>
      <c r="AI6" s="1"/>
      <c r="AJ6" s="1"/>
      <c r="AK6" s="1"/>
      <c r="AL6" s="1"/>
      <c r="AM6" t="s">
        <v>523</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T12" t="s">
        <v>531</v>
      </c>
      <c r="AP12" t="str">
        <f t="shared" si="0"/>
        <v>Добавить схему подключения</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t="s">
        <v>550</v>
      </c>
      <c r="X40" s="1" t="s">
        <v>551</v>
      </c>
      <c r="Y40" s="1"/>
      <c r="Z40" s="1" t="s">
        <v>564</v>
      </c>
      <c r="AA40" s="1"/>
      <c r="AB40" s="1"/>
      <c r="AC40" s="1"/>
      <c r="AD40" s="1" t="s">
        <v>549</v>
      </c>
      <c r="AE40" s="1" t="s">
        <v>550</v>
      </c>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212</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212</v>
      </c>
      <c r="B44" t="s">
        <v>213</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212</v>
      </c>
      <c r="B45" t="s">
        <v>213</v>
      </c>
      <c r="C45" t="s">
        <v>214</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212</v>
      </c>
      <c r="B46" t="s">
        <v>213</v>
      </c>
      <c r="C46" t="s">
        <v>214</v>
      </c>
      <c r="D46" t="s">
        <v>215</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49.5" customHeight="1" x14ac:dyDescent="0.15">
      <c r="A47" t="s">
        <v>212</v>
      </c>
      <c r="B47" t="s">
        <v>213</v>
      </c>
      <c r="C47" t="s">
        <v>214</v>
      </c>
      <c r="D47" t="s">
        <v>215</v>
      </c>
      <c r="E47" s="1"/>
      <c r="F47" s="1"/>
      <c r="G47" s="1"/>
      <c r="H47" s="1"/>
      <c r="I47" s="1" t="str">
        <f>S46&amp;".1"</f>
        <v>....1</v>
      </c>
      <c r="L47" t="s">
        <v>521</v>
      </c>
      <c r="P47" s="1">
        <v>1</v>
      </c>
      <c r="S47" t="str">
        <f>$I47</f>
        <v>....1</v>
      </c>
      <c r="T47" t="s">
        <v>522</v>
      </c>
      <c r="V47" s="1"/>
      <c r="W47" s="1"/>
      <c r="X47" s="1"/>
      <c r="Y47" s="1"/>
      <c r="Z47" s="1"/>
      <c r="AA47" s="1"/>
      <c r="AB47" s="1"/>
      <c r="AC47" s="1"/>
      <c r="AD47" s="1"/>
      <c r="AE47" s="1"/>
      <c r="AF47" s="1"/>
      <c r="AG47" s="1"/>
      <c r="AH47" s="1"/>
      <c r="AI47" s="1"/>
      <c r="AJ47" s="1"/>
      <c r="AK47" s="1"/>
      <c r="AL47" s="1"/>
      <c r="AM47" t="s">
        <v>523</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212</v>
      </c>
      <c r="B48" t="s">
        <v>213</v>
      </c>
      <c r="C48" t="s">
        <v>214</v>
      </c>
      <c r="D48" t="s">
        <v>215</v>
      </c>
      <c r="E48" s="1"/>
      <c r="F48" s="1"/>
      <c r="G48" s="1"/>
      <c r="H48" s="1"/>
      <c r="I48" s="1"/>
      <c r="J48" s="1" t="str">
        <f>I47&amp;".1"</f>
        <v>....1.1</v>
      </c>
      <c r="L48" t="s">
        <v>524</v>
      </c>
      <c r="P48" s="1"/>
      <c r="Q48" s="1">
        <v>1</v>
      </c>
      <c r="S48" t="str">
        <f>$J48</f>
        <v>....1.1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212</v>
      </c>
      <c r="B49" t="s">
        <v>213</v>
      </c>
      <c r="C49" t="s">
        <v>214</v>
      </c>
      <c r="D49" t="s">
        <v>215</v>
      </c>
      <c r="E49" s="1"/>
      <c r="F49" s="1"/>
      <c r="G49" s="1"/>
      <c r="H49" s="1"/>
      <c r="I49" s="1"/>
      <c r="J49" s="1"/>
      <c r="K49" s="1" t="str">
        <f>J48&amp;".1"</f>
        <v>....1.1.1</v>
      </c>
      <c r="L49" t="s">
        <v>527</v>
      </c>
      <c r="P49" s="1"/>
      <c r="Q49" s="1"/>
      <c r="R49">
        <v>1</v>
      </c>
      <c r="S49" t="str">
        <f>$K49</f>
        <v>....1.1.1</v>
      </c>
      <c r="Z49" s="1"/>
      <c r="AA49" s="1" t="s">
        <v>63</v>
      </c>
      <c r="AB49" s="1"/>
      <c r="AC49" s="1" t="s">
        <v>63</v>
      </c>
      <c r="AH49" s="1"/>
      <c r="AI49" s="1" t="s">
        <v>63</v>
      </c>
      <c r="AJ49" s="1"/>
      <c r="AK49" s="1" t="s">
        <v>63</v>
      </c>
      <c r="AM49" s="1" t="s">
        <v>528</v>
      </c>
      <c r="AN49" t="e">
        <f ca="1">STRCHECKDATE(V50:AL50)</f>
        <v>#NAME?</v>
      </c>
      <c r="AP49" t="str">
        <f t="shared" si="1"/>
        <v/>
      </c>
      <c r="AS49">
        <v>21</v>
      </c>
    </row>
    <row r="50" spans="1:45" ht="1.1499999999999999" customHeight="1" x14ac:dyDescent="0.15">
      <c r="A50" t="s">
        <v>212</v>
      </c>
      <c r="B50" t="s">
        <v>213</v>
      </c>
      <c r="C50" t="s">
        <v>214</v>
      </c>
      <c r="D50" t="s">
        <v>215</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212</v>
      </c>
      <c r="B51" t="s">
        <v>213</v>
      </c>
      <c r="C51" t="s">
        <v>214</v>
      </c>
      <c r="D51" t="s">
        <v>215</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212</v>
      </c>
      <c r="B52" t="s">
        <v>213</v>
      </c>
      <c r="C52" t="s">
        <v>214</v>
      </c>
      <c r="D52" t="s">
        <v>215</v>
      </c>
      <c r="E52" s="1"/>
      <c r="F52" s="1"/>
      <c r="G52" s="1"/>
      <c r="H52" s="1"/>
      <c r="I52" s="1"/>
      <c r="P52" s="1"/>
      <c r="T52" t="s">
        <v>530</v>
      </c>
      <c r="AP52" t="str">
        <f t="shared" si="1"/>
        <v>Добавить группу потребителей</v>
      </c>
      <c r="AS52">
        <v>11</v>
      </c>
    </row>
    <row r="53" spans="1:45" ht="14.65" customHeight="1" x14ac:dyDescent="0.15">
      <c r="A53" t="s">
        <v>212</v>
      </c>
      <c r="B53" t="s">
        <v>213</v>
      </c>
      <c r="C53" t="s">
        <v>214</v>
      </c>
      <c r="D53" t="s">
        <v>215</v>
      </c>
      <c r="E53" s="1"/>
      <c r="F53" s="1"/>
      <c r="G53" s="1"/>
      <c r="H53" s="1"/>
      <c r="T53" t="s">
        <v>531</v>
      </c>
      <c r="AP53" t="str">
        <f t="shared" si="1"/>
        <v>Добавить схему подключения</v>
      </c>
      <c r="AS53">
        <v>14</v>
      </c>
    </row>
    <row r="54" spans="1:45" ht="1.1499999999999999" customHeight="1" x14ac:dyDescent="0.15">
      <c r="A54" t="s">
        <v>212</v>
      </c>
      <c r="B54" t="s">
        <v>213</v>
      </c>
      <c r="C54" t="s">
        <v>214</v>
      </c>
      <c r="E54" s="1"/>
      <c r="F54" s="1"/>
      <c r="G54" s="1"/>
      <c r="T54" t="s">
        <v>532</v>
      </c>
      <c r="AP54" t="str">
        <f t="shared" si="1"/>
        <v>Добавить источник для дифференциации</v>
      </c>
      <c r="AS54">
        <v>1</v>
      </c>
    </row>
    <row r="55" spans="1:45" ht="1.1499999999999999" customHeight="1" x14ac:dyDescent="0.15">
      <c r="A55" t="s">
        <v>212</v>
      </c>
      <c r="B55" t="s">
        <v>213</v>
      </c>
      <c r="E55" s="1"/>
      <c r="F55" s="1"/>
      <c r="T55" t="s">
        <v>321</v>
      </c>
      <c r="AP55" t="str">
        <f t="shared" si="1"/>
        <v>Добавить централизованную систему для дифференциации</v>
      </c>
      <c r="AS55">
        <v>1</v>
      </c>
    </row>
    <row r="56" spans="1:45" ht="1.1499999999999999" customHeight="1" x14ac:dyDescent="0.15">
      <c r="A56" t="s">
        <v>212</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47.25" hidden="1" customHeight="1" x14ac:dyDescent="0.15">
      <c r="E6" s="1"/>
      <c r="F6" s="1"/>
      <c r="G6" s="1"/>
      <c r="H6" s="1"/>
      <c r="I6" s="1" t="e">
        <f>S5&amp;".1"</f>
        <v>#N/A</v>
      </c>
      <c r="L6" t="s">
        <v>521</v>
      </c>
      <c r="P6" s="1">
        <v>1</v>
      </c>
      <c r="S6" t="e">
        <f>$I6</f>
        <v>#N/A</v>
      </c>
      <c r="T6" t="s">
        <v>522</v>
      </c>
      <c r="V6" s="1"/>
      <c r="W6" s="1"/>
      <c r="X6" s="1"/>
      <c r="Y6" s="1"/>
      <c r="Z6" s="1"/>
      <c r="AA6" s="1"/>
      <c r="AB6" s="1"/>
      <c r="AC6" s="1"/>
      <c r="AD6" s="1"/>
      <c r="AE6" s="1"/>
      <c r="AF6" s="1"/>
      <c r="AG6" s="1"/>
      <c r="AH6" s="1"/>
      <c r="AI6" s="1"/>
      <c r="AJ6" s="1"/>
      <c r="AK6" s="1"/>
      <c r="AL6" s="1"/>
      <c r="AM6" t="s">
        <v>523</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T12" t="s">
        <v>531</v>
      </c>
      <c r="AP12" t="str">
        <f t="shared" si="0"/>
        <v>Добавить схему подключения</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14.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hidden="1" customHeight="1" x14ac:dyDescent="0.15">
      <c r="AS28">
        <v>0</v>
      </c>
    </row>
    <row r="29" spans="15:45" ht="25.5" hidden="1"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hidden="1"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hidden="1"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hidden="1"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t="s">
        <v>550</v>
      </c>
      <c r="X40" s="1" t="s">
        <v>551</v>
      </c>
      <c r="Y40" s="1"/>
      <c r="Z40" s="1" t="s">
        <v>564</v>
      </c>
      <c r="AA40" s="1"/>
      <c r="AB40" s="1"/>
      <c r="AC40" s="1"/>
      <c r="AD40" s="1" t="s">
        <v>549</v>
      </c>
      <c r="AE40" s="1" t="s">
        <v>550</v>
      </c>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261</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261</v>
      </c>
      <c r="B44" t="s">
        <v>262</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261</v>
      </c>
      <c r="B45" t="s">
        <v>262</v>
      </c>
      <c r="C45" t="s">
        <v>263</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261</v>
      </c>
      <c r="B46" t="s">
        <v>262</v>
      </c>
      <c r="C46" t="s">
        <v>263</v>
      </c>
      <c r="D46" t="s">
        <v>264</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49.5" customHeight="1" x14ac:dyDescent="0.15">
      <c r="A47" t="s">
        <v>261</v>
      </c>
      <c r="B47" t="s">
        <v>262</v>
      </c>
      <c r="C47" t="s">
        <v>263</v>
      </c>
      <c r="D47" t="s">
        <v>264</v>
      </c>
      <c r="E47" s="1"/>
      <c r="F47" s="1"/>
      <c r="G47" s="1"/>
      <c r="H47" s="1"/>
      <c r="I47" s="1" t="str">
        <f>S46&amp;".1"</f>
        <v>....1</v>
      </c>
      <c r="L47" t="s">
        <v>521</v>
      </c>
      <c r="P47" s="1">
        <v>1</v>
      </c>
      <c r="S47" t="str">
        <f>$I47</f>
        <v>....1</v>
      </c>
      <c r="T47" t="s">
        <v>522</v>
      </c>
      <c r="V47" s="1"/>
      <c r="W47" s="1"/>
      <c r="X47" s="1"/>
      <c r="Y47" s="1"/>
      <c r="Z47" s="1"/>
      <c r="AA47" s="1"/>
      <c r="AB47" s="1"/>
      <c r="AC47" s="1"/>
      <c r="AD47" s="1"/>
      <c r="AE47" s="1"/>
      <c r="AF47" s="1"/>
      <c r="AG47" s="1"/>
      <c r="AH47" s="1"/>
      <c r="AI47" s="1"/>
      <c r="AJ47" s="1"/>
      <c r="AK47" s="1"/>
      <c r="AL47" s="1"/>
      <c r="AM47" t="s">
        <v>523</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261</v>
      </c>
      <c r="B48" t="s">
        <v>262</v>
      </c>
      <c r="C48" t="s">
        <v>263</v>
      </c>
      <c r="D48" t="s">
        <v>264</v>
      </c>
      <c r="E48" s="1"/>
      <c r="F48" s="1"/>
      <c r="G48" s="1"/>
      <c r="H48" s="1"/>
      <c r="I48" s="1"/>
      <c r="J48" s="1" t="str">
        <f>I47&amp;".1"</f>
        <v>....1.1</v>
      </c>
      <c r="L48" t="s">
        <v>524</v>
      </c>
      <c r="P48" s="1"/>
      <c r="Q48" s="1">
        <v>1</v>
      </c>
      <c r="S48" t="str">
        <f>$J48</f>
        <v>....1.1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261</v>
      </c>
      <c r="B49" t="s">
        <v>262</v>
      </c>
      <c r="C49" t="s">
        <v>263</v>
      </c>
      <c r="D49" t="s">
        <v>264</v>
      </c>
      <c r="E49" s="1"/>
      <c r="F49" s="1"/>
      <c r="G49" s="1"/>
      <c r="H49" s="1"/>
      <c r="I49" s="1"/>
      <c r="J49" s="1"/>
      <c r="K49" s="1" t="str">
        <f>J48&amp;".1"</f>
        <v>....1.1.1</v>
      </c>
      <c r="L49" t="s">
        <v>527</v>
      </c>
      <c r="P49" s="1"/>
      <c r="Q49" s="1"/>
      <c r="R49">
        <v>1</v>
      </c>
      <c r="S49" t="str">
        <f>$K49</f>
        <v>....1.1.1</v>
      </c>
      <c r="Z49" s="1"/>
      <c r="AA49" s="1" t="s">
        <v>63</v>
      </c>
      <c r="AB49" s="1"/>
      <c r="AC49" s="1" t="s">
        <v>63</v>
      </c>
      <c r="AH49" s="1"/>
      <c r="AI49" s="1" t="s">
        <v>63</v>
      </c>
      <c r="AJ49" s="1"/>
      <c r="AK49" s="1" t="s">
        <v>63</v>
      </c>
      <c r="AM49" s="1" t="s">
        <v>528</v>
      </c>
      <c r="AN49" t="e">
        <f ca="1">STRCHECKDATE(V50:AL50)</f>
        <v>#NAME?</v>
      </c>
      <c r="AP49" t="str">
        <f t="shared" si="1"/>
        <v/>
      </c>
      <c r="AS49">
        <v>21</v>
      </c>
    </row>
    <row r="50" spans="1:45" ht="1.1499999999999999" customHeight="1" x14ac:dyDescent="0.15">
      <c r="A50" t="s">
        <v>261</v>
      </c>
      <c r="B50" t="s">
        <v>262</v>
      </c>
      <c r="C50" t="s">
        <v>263</v>
      </c>
      <c r="D50" t="s">
        <v>264</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261</v>
      </c>
      <c r="B51" t="s">
        <v>262</v>
      </c>
      <c r="C51" t="s">
        <v>263</v>
      </c>
      <c r="D51" t="s">
        <v>264</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261</v>
      </c>
      <c r="B52" t="s">
        <v>262</v>
      </c>
      <c r="C52" t="s">
        <v>263</v>
      </c>
      <c r="D52" t="s">
        <v>264</v>
      </c>
      <c r="E52" s="1"/>
      <c r="F52" s="1"/>
      <c r="G52" s="1"/>
      <c r="H52" s="1"/>
      <c r="I52" s="1"/>
      <c r="P52" s="1"/>
      <c r="T52" t="s">
        <v>530</v>
      </c>
      <c r="AP52" t="str">
        <f t="shared" si="1"/>
        <v>Добавить группу потребителей</v>
      </c>
      <c r="AS52">
        <v>11</v>
      </c>
    </row>
    <row r="53" spans="1:45" ht="14.65" customHeight="1" x14ac:dyDescent="0.15">
      <c r="A53" t="s">
        <v>261</v>
      </c>
      <c r="B53" t="s">
        <v>262</v>
      </c>
      <c r="C53" t="s">
        <v>263</v>
      </c>
      <c r="D53" t="s">
        <v>264</v>
      </c>
      <c r="E53" s="1"/>
      <c r="F53" s="1"/>
      <c r="G53" s="1"/>
      <c r="H53" s="1"/>
      <c r="T53" t="s">
        <v>531</v>
      </c>
      <c r="AP53" t="str">
        <f t="shared" si="1"/>
        <v>Добавить схему подключения</v>
      </c>
      <c r="AS53">
        <v>14</v>
      </c>
    </row>
    <row r="54" spans="1:45" ht="4.1500000000000004" customHeight="1" x14ac:dyDescent="0.15">
      <c r="A54" t="s">
        <v>261</v>
      </c>
      <c r="B54" t="s">
        <v>262</v>
      </c>
      <c r="C54" t="s">
        <v>263</v>
      </c>
      <c r="E54" s="1"/>
      <c r="F54" s="1"/>
      <c r="G54" s="1"/>
      <c r="T54" t="s">
        <v>532</v>
      </c>
      <c r="AP54" t="str">
        <f t="shared" si="1"/>
        <v>Добавить источник для дифференциации</v>
      </c>
      <c r="AS54">
        <v>4</v>
      </c>
    </row>
    <row r="55" spans="1:45" ht="4.1500000000000004" customHeight="1" x14ac:dyDescent="0.15">
      <c r="A55" t="s">
        <v>261</v>
      </c>
      <c r="B55" t="s">
        <v>262</v>
      </c>
      <c r="E55" s="1"/>
      <c r="F55" s="1"/>
      <c r="T55" t="s">
        <v>321</v>
      </c>
      <c r="AP55" t="str">
        <f t="shared" si="1"/>
        <v>Добавить централизованную систему для дифференциации</v>
      </c>
      <c r="AS55">
        <v>4</v>
      </c>
    </row>
    <row r="56" spans="1:45" ht="4.1500000000000004" customHeight="1" x14ac:dyDescent="0.15">
      <c r="A56" t="s">
        <v>261</v>
      </c>
      <c r="E56" s="1"/>
      <c r="T56" t="s">
        <v>385</v>
      </c>
      <c r="AP56" t="str">
        <f t="shared" si="1"/>
        <v>Добавить территорию для дифференциации</v>
      </c>
      <c r="AS56">
        <v>4</v>
      </c>
    </row>
    <row r="57" spans="1:45" ht="4.1500000000000004" customHeight="1" x14ac:dyDescent="0.15">
      <c r="T57" t="s">
        <v>386</v>
      </c>
      <c r="AP57" t="str">
        <f t="shared" si="1"/>
        <v>Добавить наименование тарифа</v>
      </c>
      <c r="AS57">
        <v>4</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47.25" hidden="1" customHeight="1" x14ac:dyDescent="0.15">
      <c r="E6" s="1"/>
      <c r="F6" s="1"/>
      <c r="G6" s="1"/>
      <c r="H6" s="1"/>
      <c r="I6" s="1" t="e">
        <f>S5&amp;".1"</f>
        <v>#N/A</v>
      </c>
      <c r="L6" t="s">
        <v>521</v>
      </c>
      <c r="P6" s="1">
        <v>1</v>
      </c>
      <c r="S6" t="e">
        <f>$I6</f>
        <v>#N/A</v>
      </c>
      <c r="T6" t="s">
        <v>522</v>
      </c>
      <c r="V6" s="1"/>
      <c r="W6" s="1"/>
      <c r="X6" s="1"/>
      <c r="Y6" s="1"/>
      <c r="Z6" s="1"/>
      <c r="AA6" s="1"/>
      <c r="AB6" s="1"/>
      <c r="AC6" s="1"/>
      <c r="AD6" s="1"/>
      <c r="AE6" s="1"/>
      <c r="AF6" s="1"/>
      <c r="AG6" s="1"/>
      <c r="AH6" s="1"/>
      <c r="AI6" s="1"/>
      <c r="AJ6" s="1"/>
      <c r="AK6" s="1"/>
      <c r="AL6" s="1"/>
      <c r="AM6" t="s">
        <v>523</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T12" t="s">
        <v>531</v>
      </c>
      <c r="AP12" t="str">
        <f t="shared" si="0"/>
        <v>Добавить схему подключения</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14.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14.6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14</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hidden="1" customHeight="1" x14ac:dyDescent="0.15">
      <c r="AS28">
        <v>0</v>
      </c>
    </row>
    <row r="29" spans="15:45" ht="25.5" hidden="1"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hidden="1"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hidden="1"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hidden="1"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t="s">
        <v>550</v>
      </c>
      <c r="X40" s="1" t="s">
        <v>551</v>
      </c>
      <c r="Y40" s="1"/>
      <c r="Z40" s="1" t="s">
        <v>564</v>
      </c>
      <c r="AA40" s="1"/>
      <c r="AB40" s="1"/>
      <c r="AC40" s="1"/>
      <c r="AD40" s="1" t="s">
        <v>549</v>
      </c>
      <c r="AE40" s="1" t="s">
        <v>550</v>
      </c>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261</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261</v>
      </c>
      <c r="B44" t="s">
        <v>262</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261</v>
      </c>
      <c r="B45" t="s">
        <v>262</v>
      </c>
      <c r="C45" t="s">
        <v>263</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261</v>
      </c>
      <c r="B46" t="s">
        <v>262</v>
      </c>
      <c r="C46" t="s">
        <v>263</v>
      </c>
      <c r="D46" t="s">
        <v>264</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49.5" customHeight="1" x14ac:dyDescent="0.15">
      <c r="A47" t="s">
        <v>261</v>
      </c>
      <c r="B47" t="s">
        <v>262</v>
      </c>
      <c r="C47" t="s">
        <v>263</v>
      </c>
      <c r="D47" t="s">
        <v>264</v>
      </c>
      <c r="E47" s="1"/>
      <c r="F47" s="1"/>
      <c r="G47" s="1"/>
      <c r="H47" s="1"/>
      <c r="I47" s="1" t="str">
        <f>S46&amp;".1"</f>
        <v>....1</v>
      </c>
      <c r="L47" t="s">
        <v>521</v>
      </c>
      <c r="P47" s="1">
        <v>1</v>
      </c>
      <c r="S47" t="str">
        <f>$I47</f>
        <v>....1</v>
      </c>
      <c r="T47" t="s">
        <v>522</v>
      </c>
      <c r="V47" s="1"/>
      <c r="W47" s="1"/>
      <c r="X47" s="1"/>
      <c r="Y47" s="1"/>
      <c r="Z47" s="1"/>
      <c r="AA47" s="1"/>
      <c r="AB47" s="1"/>
      <c r="AC47" s="1"/>
      <c r="AD47" s="1"/>
      <c r="AE47" s="1"/>
      <c r="AF47" s="1"/>
      <c r="AG47" s="1"/>
      <c r="AH47" s="1"/>
      <c r="AI47" s="1"/>
      <c r="AJ47" s="1"/>
      <c r="AK47" s="1"/>
      <c r="AL47" s="1"/>
      <c r="AM47" t="s">
        <v>523</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261</v>
      </c>
      <c r="B48" t="s">
        <v>262</v>
      </c>
      <c r="C48" t="s">
        <v>263</v>
      </c>
      <c r="D48" t="s">
        <v>264</v>
      </c>
      <c r="E48" s="1"/>
      <c r="F48" s="1"/>
      <c r="G48" s="1"/>
      <c r="H48" s="1"/>
      <c r="I48" s="1"/>
      <c r="J48" s="1" t="str">
        <f>I47&amp;".1"</f>
        <v>....1.1</v>
      </c>
      <c r="L48" t="s">
        <v>524</v>
      </c>
      <c r="P48" s="1"/>
      <c r="Q48" s="1">
        <v>1</v>
      </c>
      <c r="S48" t="str">
        <f>$J48</f>
        <v>....1.1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261</v>
      </c>
      <c r="B49" t="s">
        <v>262</v>
      </c>
      <c r="C49" t="s">
        <v>263</v>
      </c>
      <c r="D49" t="s">
        <v>264</v>
      </c>
      <c r="E49" s="1"/>
      <c r="F49" s="1"/>
      <c r="G49" s="1"/>
      <c r="H49" s="1"/>
      <c r="I49" s="1"/>
      <c r="J49" s="1"/>
      <c r="K49" s="1" t="str">
        <f>J48&amp;".1"</f>
        <v>....1.1.1</v>
      </c>
      <c r="L49" t="s">
        <v>527</v>
      </c>
      <c r="P49" s="1"/>
      <c r="Q49" s="1"/>
      <c r="R49">
        <v>1</v>
      </c>
      <c r="S49" t="str">
        <f>$K49</f>
        <v>....1.1.1</v>
      </c>
      <c r="Z49" s="1"/>
      <c r="AA49" s="1" t="s">
        <v>63</v>
      </c>
      <c r="AB49" s="1"/>
      <c r="AC49" s="1" t="s">
        <v>63</v>
      </c>
      <c r="AH49" s="1"/>
      <c r="AI49" s="1" t="s">
        <v>63</v>
      </c>
      <c r="AJ49" s="1"/>
      <c r="AK49" s="1" t="s">
        <v>63</v>
      </c>
      <c r="AM49" s="1" t="s">
        <v>528</v>
      </c>
      <c r="AN49" t="e">
        <f ca="1">STRCHECKDATE(V50:AL50)</f>
        <v>#NAME?</v>
      </c>
      <c r="AP49" t="str">
        <f t="shared" si="1"/>
        <v/>
      </c>
      <c r="AS49">
        <v>21</v>
      </c>
    </row>
    <row r="50" spans="1:45" ht="1.1499999999999999" customHeight="1" x14ac:dyDescent="0.15">
      <c r="A50" t="s">
        <v>261</v>
      </c>
      <c r="B50" t="s">
        <v>262</v>
      </c>
      <c r="C50" t="s">
        <v>263</v>
      </c>
      <c r="D50" t="s">
        <v>264</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261</v>
      </c>
      <c r="B51" t="s">
        <v>262</v>
      </c>
      <c r="C51" t="s">
        <v>263</v>
      </c>
      <c r="D51" t="s">
        <v>264</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261</v>
      </c>
      <c r="B52" t="s">
        <v>262</v>
      </c>
      <c r="C52" t="s">
        <v>263</v>
      </c>
      <c r="D52" t="s">
        <v>264</v>
      </c>
      <c r="E52" s="1"/>
      <c r="F52" s="1"/>
      <c r="G52" s="1"/>
      <c r="H52" s="1"/>
      <c r="I52" s="1"/>
      <c r="P52" s="1"/>
      <c r="T52" t="s">
        <v>530</v>
      </c>
      <c r="AP52" t="str">
        <f t="shared" si="1"/>
        <v>Добавить группу потребителей</v>
      </c>
      <c r="AS52">
        <v>11</v>
      </c>
    </row>
    <row r="53" spans="1:45" ht="14.65" customHeight="1" x14ac:dyDescent="0.15">
      <c r="A53" t="s">
        <v>261</v>
      </c>
      <c r="B53" t="s">
        <v>262</v>
      </c>
      <c r="C53" t="s">
        <v>263</v>
      </c>
      <c r="D53" t="s">
        <v>264</v>
      </c>
      <c r="E53" s="1"/>
      <c r="F53" s="1"/>
      <c r="G53" s="1"/>
      <c r="H53" s="1"/>
      <c r="T53" t="s">
        <v>531</v>
      </c>
      <c r="AP53" t="str">
        <f t="shared" si="1"/>
        <v>Добавить схему подключения</v>
      </c>
      <c r="AS53">
        <v>14</v>
      </c>
    </row>
    <row r="54" spans="1:45" ht="1.1499999999999999" customHeight="1" x14ac:dyDescent="0.15">
      <c r="A54" t="s">
        <v>261</v>
      </c>
      <c r="B54" t="s">
        <v>262</v>
      </c>
      <c r="C54" t="s">
        <v>263</v>
      </c>
      <c r="E54" s="1"/>
      <c r="F54" s="1"/>
      <c r="G54" s="1"/>
      <c r="T54" t="s">
        <v>532</v>
      </c>
      <c r="AP54" t="str">
        <f t="shared" si="1"/>
        <v>Добавить источник для дифференциации</v>
      </c>
      <c r="AS54">
        <v>1</v>
      </c>
    </row>
    <row r="55" spans="1:45" ht="1.1499999999999999" customHeight="1" x14ac:dyDescent="0.15">
      <c r="A55" t="s">
        <v>261</v>
      </c>
      <c r="B55" t="s">
        <v>262</v>
      </c>
      <c r="E55" s="1"/>
      <c r="F55" s="1"/>
      <c r="T55" t="s">
        <v>321</v>
      </c>
      <c r="AP55" t="str">
        <f t="shared" si="1"/>
        <v>Добавить централизованную систему для дифференциации</v>
      </c>
      <c r="AS55">
        <v>1</v>
      </c>
    </row>
    <row r="56" spans="1:45" ht="1.1499999999999999" customHeight="1" x14ac:dyDescent="0.15">
      <c r="A56" t="s">
        <v>261</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65.25" customHeight="1" x14ac:dyDescent="0.15">
      <c r="T60" s="1"/>
      <c r="U60" s="1"/>
      <c r="V60" s="1"/>
      <c r="W60" s="1"/>
      <c r="X60" s="1"/>
      <c r="Y60" s="1"/>
      <c r="Z60" s="1"/>
      <c r="AA60" s="1"/>
      <c r="AB60" s="1"/>
      <c r="AC60" s="1"/>
      <c r="AD60" s="1"/>
      <c r="AE60" s="1"/>
      <c r="AF60" s="1"/>
      <c r="AG60" s="1"/>
      <c r="AH60" s="1"/>
      <c r="AI60" s="1"/>
      <c r="AJ60" s="1"/>
      <c r="AK60" s="1"/>
      <c r="AL60" s="1"/>
      <c r="AM60" s="1"/>
      <c r="AS60">
        <v>62</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24</v>
      </c>
      <c r="AE65">
        <v>0</v>
      </c>
      <c r="AF65">
        <v>24</v>
      </c>
      <c r="AG65">
        <v>24</v>
      </c>
      <c r="AH65">
        <v>11</v>
      </c>
      <c r="AI65">
        <v>3</v>
      </c>
      <c r="AJ65">
        <v>11</v>
      </c>
      <c r="AK65">
        <v>0</v>
      </c>
      <c r="AL65">
        <v>4</v>
      </c>
      <c r="AM65">
        <v>115</v>
      </c>
      <c r="AN65">
        <v>10</v>
      </c>
      <c r="AO65">
        <v>10</v>
      </c>
      <c r="AP65">
        <v>10</v>
      </c>
      <c r="AQ65">
        <v>10</v>
      </c>
      <c r="AR65">
        <v>10</v>
      </c>
      <c r="AS6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03125" hidden="1" customWidth="1"/>
    <col min="30" max="30" width="0.140625" customWidth="1"/>
    <col min="31" max="31" width="24" customWidth="1"/>
    <col min="32" max="33" width="0.140625"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47.25" hidden="1" customHeight="1" x14ac:dyDescent="0.15">
      <c r="E6" s="1"/>
      <c r="F6" s="1"/>
      <c r="G6" s="1"/>
      <c r="H6" s="1"/>
      <c r="I6" s="1" t="e">
        <f>S5&amp;".1"</f>
        <v>#N/A</v>
      </c>
      <c r="L6" t="s">
        <v>521</v>
      </c>
      <c r="P6" s="1">
        <v>1</v>
      </c>
      <c r="S6" t="e">
        <f>$I6</f>
        <v>#N/A</v>
      </c>
      <c r="T6" t="s">
        <v>522</v>
      </c>
      <c r="V6" s="1"/>
      <c r="W6" s="1"/>
      <c r="X6" s="1"/>
      <c r="Y6" s="1"/>
      <c r="Z6" s="1"/>
      <c r="AA6" s="1"/>
      <c r="AB6" s="1"/>
      <c r="AC6" s="1"/>
      <c r="AD6" s="1"/>
      <c r="AE6" s="1"/>
      <c r="AF6" s="1"/>
      <c r="AG6" s="1"/>
      <c r="AH6" s="1"/>
      <c r="AI6" s="1"/>
      <c r="AJ6" s="1"/>
      <c r="AK6" s="1"/>
      <c r="AL6" s="1"/>
      <c r="AM6" t="s">
        <v>523</v>
      </c>
      <c r="AP6" t="str">
        <f t="shared" si="0"/>
        <v>Схема подключения теплопотребляющей установки к коллектору источника тепловой энергии</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T12" t="s">
        <v>531</v>
      </c>
      <c r="AP12" t="str">
        <f t="shared" si="0"/>
        <v>Добавить схему подключения</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33.7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29.25" customHeight="1" x14ac:dyDescent="0.15">
      <c r="S26" s="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
      <c r="U26" s="1"/>
      <c r="V26" s="1"/>
      <c r="W26" s="1"/>
      <c r="X26" s="1"/>
      <c r="Y26" s="1"/>
      <c r="Z26" s="1"/>
      <c r="AA26" s="1"/>
      <c r="AB26" s="1"/>
      <c r="AC26" s="1"/>
      <c r="AD26" s="1"/>
      <c r="AE26" s="1"/>
      <c r="AF26" s="1"/>
      <c r="AG26" s="1"/>
      <c r="AH26" s="1"/>
      <c r="AI26" s="1"/>
      <c r="AJ26" s="1"/>
      <c r="AS26">
        <v>28</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24" customHeight="1" x14ac:dyDescent="0.15">
      <c r="S40" s="1"/>
      <c r="T40" s="1"/>
      <c r="V40" s="1" t="s">
        <v>549</v>
      </c>
      <c r="W40" s="1" t="s">
        <v>550</v>
      </c>
      <c r="X40" t="s">
        <v>551</v>
      </c>
      <c r="Z40" s="1" t="s">
        <v>552</v>
      </c>
      <c r="AA40" s="1"/>
      <c r="AB40" s="1"/>
      <c r="AC40" s="1"/>
      <c r="AD40" s="1" t="s">
        <v>549</v>
      </c>
      <c r="AE40" s="1" t="s">
        <v>550</v>
      </c>
      <c r="AF40" t="s">
        <v>551</v>
      </c>
      <c r="AH40" s="1" t="s">
        <v>552</v>
      </c>
      <c r="AI40" s="1"/>
      <c r="AJ40" s="1"/>
      <c r="AK40" s="1"/>
      <c r="AL40" s="1"/>
      <c r="AM40" s="1"/>
      <c r="AS40">
        <v>23</v>
      </c>
    </row>
    <row r="41" spans="1:45" ht="24"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23</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243</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243</v>
      </c>
      <c r="B44" t="s">
        <v>244</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243</v>
      </c>
      <c r="B45" t="s">
        <v>244</v>
      </c>
      <c r="C45" t="s">
        <v>245</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243</v>
      </c>
      <c r="B46" t="s">
        <v>244</v>
      </c>
      <c r="C46" t="s">
        <v>245</v>
      </c>
      <c r="D46" t="s">
        <v>246</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49.5" customHeight="1" x14ac:dyDescent="0.15">
      <c r="A47" t="s">
        <v>243</v>
      </c>
      <c r="B47" t="s">
        <v>244</v>
      </c>
      <c r="C47" t="s">
        <v>245</v>
      </c>
      <c r="D47" t="s">
        <v>246</v>
      </c>
      <c r="E47" s="1"/>
      <c r="F47" s="1"/>
      <c r="G47" s="1"/>
      <c r="H47" s="1"/>
      <c r="I47" s="1" t="str">
        <f>S46&amp;".1"</f>
        <v>....1</v>
      </c>
      <c r="L47" t="s">
        <v>521</v>
      </c>
      <c r="P47" s="1">
        <v>1</v>
      </c>
      <c r="S47" t="str">
        <f>$I47</f>
        <v>....1</v>
      </c>
      <c r="T47" t="s">
        <v>522</v>
      </c>
      <c r="V47" s="1"/>
      <c r="W47" s="1"/>
      <c r="X47" s="1"/>
      <c r="Y47" s="1"/>
      <c r="Z47" s="1"/>
      <c r="AA47" s="1"/>
      <c r="AB47" s="1"/>
      <c r="AC47" s="1"/>
      <c r="AD47" s="1"/>
      <c r="AE47" s="1"/>
      <c r="AF47" s="1"/>
      <c r="AG47" s="1"/>
      <c r="AH47" s="1"/>
      <c r="AI47" s="1"/>
      <c r="AJ47" s="1"/>
      <c r="AK47" s="1"/>
      <c r="AL47" s="1"/>
      <c r="AM47" t="s">
        <v>523</v>
      </c>
      <c r="AP47" t="str">
        <f t="shared" si="1"/>
        <v>Схема подключения теплопотребляющей установки к коллектору источника тепловой энергии</v>
      </c>
      <c r="AS47">
        <v>47</v>
      </c>
    </row>
    <row r="48" spans="1:45" ht="21.95" customHeight="1" x14ac:dyDescent="0.15">
      <c r="A48" t="s">
        <v>243</v>
      </c>
      <c r="B48" t="s">
        <v>244</v>
      </c>
      <c r="C48" t="s">
        <v>245</v>
      </c>
      <c r="D48" t="s">
        <v>246</v>
      </c>
      <c r="E48" s="1"/>
      <c r="F48" s="1"/>
      <c r="G48" s="1"/>
      <c r="H48" s="1"/>
      <c r="I48" s="1"/>
      <c r="J48" s="1" t="str">
        <f>I47&amp;".1"</f>
        <v>....1.1</v>
      </c>
      <c r="L48" t="s">
        <v>524</v>
      </c>
      <c r="P48" s="1"/>
      <c r="Q48" s="1">
        <v>1</v>
      </c>
      <c r="S48" t="str">
        <f>$J48</f>
        <v>....1.1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243</v>
      </c>
      <c r="B49" t="s">
        <v>244</v>
      </c>
      <c r="C49" t="s">
        <v>245</v>
      </c>
      <c r="D49" t="s">
        <v>246</v>
      </c>
      <c r="E49" s="1"/>
      <c r="F49" s="1"/>
      <c r="G49" s="1"/>
      <c r="H49" s="1"/>
      <c r="I49" s="1"/>
      <c r="J49" s="1"/>
      <c r="K49" s="1" t="str">
        <f>J48&amp;".1"</f>
        <v>....1.1.1</v>
      </c>
      <c r="L49" t="s">
        <v>527</v>
      </c>
      <c r="P49" s="1"/>
      <c r="Q49" s="1"/>
      <c r="R49">
        <v>1</v>
      </c>
      <c r="S49" t="str">
        <f>$K49</f>
        <v>....1.1.1</v>
      </c>
      <c r="Z49" s="1"/>
      <c r="AA49" s="1" t="s">
        <v>63</v>
      </c>
      <c r="AB49" s="1"/>
      <c r="AC49" s="1" t="s">
        <v>63</v>
      </c>
      <c r="AH49" s="1"/>
      <c r="AI49" s="1" t="s">
        <v>63</v>
      </c>
      <c r="AJ49" s="1"/>
      <c r="AK49" s="1" t="s">
        <v>63</v>
      </c>
      <c r="AM49" s="1" t="s">
        <v>528</v>
      </c>
      <c r="AN49" t="e">
        <f ca="1">STRCHECKDATE(V50:AL50)</f>
        <v>#NAME?</v>
      </c>
      <c r="AP49" t="str">
        <f t="shared" si="1"/>
        <v/>
      </c>
      <c r="AS49">
        <v>21</v>
      </c>
    </row>
    <row r="50" spans="1:45" ht="1.1499999999999999" customHeight="1" x14ac:dyDescent="0.15">
      <c r="A50" t="s">
        <v>243</v>
      </c>
      <c r="B50" t="s">
        <v>244</v>
      </c>
      <c r="C50" t="s">
        <v>245</v>
      </c>
      <c r="D50" t="s">
        <v>246</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243</v>
      </c>
      <c r="B51" t="s">
        <v>244</v>
      </c>
      <c r="C51" t="s">
        <v>245</v>
      </c>
      <c r="D51" t="s">
        <v>246</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243</v>
      </c>
      <c r="B52" t="s">
        <v>244</v>
      </c>
      <c r="C52" t="s">
        <v>245</v>
      </c>
      <c r="D52" t="s">
        <v>246</v>
      </c>
      <c r="E52" s="1"/>
      <c r="F52" s="1"/>
      <c r="G52" s="1"/>
      <c r="H52" s="1"/>
      <c r="I52" s="1"/>
      <c r="P52" s="1"/>
      <c r="T52" t="s">
        <v>530</v>
      </c>
      <c r="AP52" t="str">
        <f t="shared" si="1"/>
        <v>Добавить группу потребителей</v>
      </c>
      <c r="AS52">
        <v>11</v>
      </c>
    </row>
    <row r="53" spans="1:45" ht="14.65" customHeight="1" x14ac:dyDescent="0.15">
      <c r="A53" t="s">
        <v>243</v>
      </c>
      <c r="B53" t="s">
        <v>244</v>
      </c>
      <c r="C53" t="s">
        <v>245</v>
      </c>
      <c r="D53" t="s">
        <v>246</v>
      </c>
      <c r="E53" s="1"/>
      <c r="F53" s="1"/>
      <c r="G53" s="1"/>
      <c r="H53" s="1"/>
      <c r="T53" t="s">
        <v>531</v>
      </c>
      <c r="AP53" t="str">
        <f t="shared" si="1"/>
        <v>Добавить схему подключения</v>
      </c>
      <c r="AS53">
        <v>14</v>
      </c>
    </row>
    <row r="54" spans="1:45" ht="1.1499999999999999" customHeight="1" x14ac:dyDescent="0.15">
      <c r="A54" t="s">
        <v>243</v>
      </c>
      <c r="B54" t="s">
        <v>244</v>
      </c>
      <c r="C54" t="s">
        <v>245</v>
      </c>
      <c r="E54" s="1"/>
      <c r="F54" s="1"/>
      <c r="G54" s="1"/>
      <c r="T54" t="s">
        <v>532</v>
      </c>
      <c r="AP54" t="str">
        <f t="shared" si="1"/>
        <v>Добавить источник для дифференциации</v>
      </c>
      <c r="AS54">
        <v>1</v>
      </c>
    </row>
    <row r="55" spans="1:45" ht="1.1499999999999999" customHeight="1" x14ac:dyDescent="0.15">
      <c r="A55" t="s">
        <v>243</v>
      </c>
      <c r="B55" t="s">
        <v>244</v>
      </c>
      <c r="E55" s="1"/>
      <c r="F55" s="1"/>
      <c r="T55" t="s">
        <v>321</v>
      </c>
      <c r="AP55" t="str">
        <f t="shared" si="1"/>
        <v>Добавить централизованную систему для дифференциации</v>
      </c>
      <c r="AS55">
        <v>1</v>
      </c>
    </row>
    <row r="56" spans="1:45" ht="1.1499999999999999" customHeight="1" x14ac:dyDescent="0.15">
      <c r="A56" t="s">
        <v>243</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28.5" customHeight="1" x14ac:dyDescent="0.15">
      <c r="T59" s="1"/>
      <c r="U59" s="1"/>
      <c r="V59" s="1"/>
      <c r="W59" s="1"/>
      <c r="X59" s="1"/>
      <c r="Y59" s="1"/>
      <c r="Z59" s="1"/>
      <c r="AA59" s="1"/>
      <c r="AB59" s="1"/>
      <c r="AC59" s="1"/>
      <c r="AD59" s="1"/>
      <c r="AE59" s="1"/>
      <c r="AF59" s="1"/>
      <c r="AG59" s="1"/>
      <c r="AH59" s="1"/>
      <c r="AI59" s="1"/>
      <c r="AJ59" s="1"/>
      <c r="AK59" s="1"/>
      <c r="AL59" s="1"/>
      <c r="AM59" s="1"/>
      <c r="AS59">
        <v>27</v>
      </c>
    </row>
    <row r="60" spans="1:45" ht="78.75" customHeight="1" x14ac:dyDescent="0.15">
      <c r="T60" s="1"/>
      <c r="U60" s="1"/>
      <c r="V60" s="1"/>
      <c r="W60" s="1"/>
      <c r="X60" s="1"/>
      <c r="Y60" s="1"/>
      <c r="Z60" s="1"/>
      <c r="AA60" s="1"/>
      <c r="AB60" s="1"/>
      <c r="AC60" s="1"/>
      <c r="AD60" s="1"/>
      <c r="AE60" s="1"/>
      <c r="AF60" s="1"/>
      <c r="AG60" s="1"/>
      <c r="AH60" s="1"/>
      <c r="AI60" s="1"/>
      <c r="AJ60" s="1"/>
      <c r="AK60" s="1"/>
      <c r="AL60" s="1"/>
      <c r="AM60" s="1"/>
      <c r="AS60">
        <v>75</v>
      </c>
    </row>
    <row r="61" spans="1:45" ht="14.65" customHeight="1" x14ac:dyDescent="0.15">
      <c r="AS61">
        <v>14</v>
      </c>
    </row>
    <row r="62" spans="1:45" ht="18.75" customHeight="1" x14ac:dyDescent="0.15">
      <c r="T62" s="1"/>
      <c r="U62" s="1"/>
      <c r="V62" s="1"/>
      <c r="W62" s="1"/>
      <c r="X62" s="1"/>
      <c r="Y62" s="1"/>
      <c r="Z62" s="1"/>
      <c r="AA62" s="1"/>
      <c r="AB62" s="1"/>
      <c r="AC62" s="1"/>
      <c r="AD62" s="1"/>
      <c r="AE62" s="1"/>
      <c r="AF62" s="1"/>
      <c r="AG62" s="1"/>
      <c r="AH62" s="1"/>
      <c r="AI62" s="1"/>
      <c r="AJ62" s="1"/>
      <c r="AK62" s="1"/>
      <c r="AL62" s="1"/>
      <c r="AM62" s="1"/>
      <c r="AS62">
        <v>18</v>
      </c>
    </row>
    <row r="63" spans="1:45" ht="18.75" customHeight="1" x14ac:dyDescent="0.15">
      <c r="T63" s="1"/>
      <c r="U63" s="1"/>
      <c r="V63" s="1"/>
      <c r="W63" s="1"/>
      <c r="X63" s="1"/>
      <c r="Y63" s="1"/>
      <c r="Z63" s="1"/>
      <c r="AA63" s="1"/>
      <c r="AB63" s="1"/>
      <c r="AC63" s="1"/>
      <c r="AD63" s="1"/>
      <c r="AE63" s="1"/>
      <c r="AF63" s="1"/>
      <c r="AG63" s="1"/>
      <c r="AH63" s="1"/>
      <c r="AI63" s="1"/>
      <c r="AJ63" s="1"/>
      <c r="AK63" s="1"/>
      <c r="AL63" s="1"/>
      <c r="AM63" s="1"/>
      <c r="AS63">
        <v>18</v>
      </c>
    </row>
    <row r="64" spans="1:45" ht="39.75" customHeight="1" x14ac:dyDescent="0.15">
      <c r="T64" s="1"/>
      <c r="U64" s="1"/>
      <c r="V64" s="1"/>
      <c r="W64" s="1"/>
      <c r="X64" s="1"/>
      <c r="Y64" s="1"/>
      <c r="Z64" s="1"/>
      <c r="AA64" s="1"/>
      <c r="AB64" s="1"/>
      <c r="AC64" s="1"/>
      <c r="AD64" s="1"/>
      <c r="AE64" s="1"/>
      <c r="AF64" s="1"/>
      <c r="AG64" s="1"/>
      <c r="AH64" s="1"/>
      <c r="AI64" s="1"/>
      <c r="AJ64" s="1"/>
      <c r="AK64" s="1"/>
      <c r="AL64" s="1"/>
      <c r="AM64" s="1"/>
      <c r="AS64">
        <v>38</v>
      </c>
    </row>
    <row r="65" spans="1:45" ht="22.5" hidden="1" customHeight="1" x14ac:dyDescent="0.15">
      <c r="A65" t="s">
        <v>84</v>
      </c>
      <c r="B65">
        <v>0</v>
      </c>
      <c r="C65">
        <v>0</v>
      </c>
      <c r="D65">
        <v>0</v>
      </c>
      <c r="E65">
        <v>0</v>
      </c>
      <c r="F65">
        <v>0</v>
      </c>
      <c r="G65">
        <v>0</v>
      </c>
      <c r="H65">
        <v>0</v>
      </c>
      <c r="I65">
        <v>0</v>
      </c>
      <c r="J65">
        <v>0</v>
      </c>
      <c r="K65">
        <v>0</v>
      </c>
      <c r="L65">
        <v>0</v>
      </c>
      <c r="M65">
        <v>0</v>
      </c>
      <c r="N65">
        <v>0</v>
      </c>
      <c r="O65">
        <v>0</v>
      </c>
      <c r="P65">
        <v>3</v>
      </c>
      <c r="Q65">
        <v>3</v>
      </c>
      <c r="R65">
        <v>3</v>
      </c>
      <c r="S65">
        <v>12</v>
      </c>
      <c r="T65">
        <v>31</v>
      </c>
      <c r="U65">
        <v>0</v>
      </c>
      <c r="V65">
        <v>0</v>
      </c>
      <c r="W65">
        <v>0</v>
      </c>
      <c r="X65">
        <v>0</v>
      </c>
      <c r="Y65">
        <v>0</v>
      </c>
      <c r="Z65">
        <v>0</v>
      </c>
      <c r="AA65">
        <v>0</v>
      </c>
      <c r="AB65">
        <v>0</v>
      </c>
      <c r="AC65">
        <v>0</v>
      </c>
      <c r="AD65">
        <v>0</v>
      </c>
      <c r="AE65">
        <v>24</v>
      </c>
      <c r="AF65">
        <v>0</v>
      </c>
      <c r="AG65">
        <v>0</v>
      </c>
      <c r="AH65">
        <v>11</v>
      </c>
      <c r="AI65">
        <v>3</v>
      </c>
      <c r="AJ65">
        <v>11</v>
      </c>
      <c r="AK65">
        <v>0</v>
      </c>
      <c r="AL65">
        <v>4</v>
      </c>
      <c r="AM65">
        <v>115</v>
      </c>
      <c r="AN65">
        <v>10</v>
      </c>
      <c r="AO65">
        <v>10</v>
      </c>
      <c r="AP65">
        <v>10</v>
      </c>
      <c r="AQ65">
        <v>10</v>
      </c>
      <c r="AR65">
        <v>10</v>
      </c>
      <c r="AS6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8.42578125" hidden="1" customWidth="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14.25" hidden="1" customHeight="1" x14ac:dyDescent="0.15">
      <c r="E6" s="1"/>
      <c r="F6" s="1"/>
      <c r="G6" s="1"/>
      <c r="H6" s="1"/>
      <c r="I6" s="1" t="e">
        <f>S5&amp;".1"</f>
        <v>#N/A</v>
      </c>
      <c r="L6" t="s">
        <v>521</v>
      </c>
      <c r="P6" s="1">
        <v>1</v>
      </c>
      <c r="V6" s="1"/>
      <c r="W6" s="1"/>
      <c r="X6" s="1"/>
      <c r="Y6" s="1"/>
      <c r="Z6" s="1"/>
      <c r="AA6" s="1"/>
      <c r="AB6" s="1"/>
      <c r="AC6" s="1"/>
      <c r="AD6" s="1"/>
      <c r="AE6" s="1"/>
      <c r="AF6" s="1"/>
      <c r="AG6" s="1"/>
      <c r="AH6" s="1"/>
      <c r="AI6" s="1"/>
      <c r="AJ6" s="1"/>
      <c r="AK6" s="1"/>
      <c r="AL6" s="1"/>
      <c r="AP6" t="str">
        <f t="shared" si="0"/>
        <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AP12" t="str">
        <f t="shared" si="0"/>
        <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63"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60</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c r="X40" s="1" t="s">
        <v>551</v>
      </c>
      <c r="Y40" s="1"/>
      <c r="Z40" s="1" t="s">
        <v>552</v>
      </c>
      <c r="AA40" s="1"/>
      <c r="AB40" s="1"/>
      <c r="AC40" s="1"/>
      <c r="AD40" s="1" t="s">
        <v>565</v>
      </c>
      <c r="AE40" s="1"/>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219</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219</v>
      </c>
      <c r="B44" t="s">
        <v>220</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219</v>
      </c>
      <c r="B45" t="s">
        <v>220</v>
      </c>
      <c r="C45" t="s">
        <v>221</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219</v>
      </c>
      <c r="B46" t="s">
        <v>220</v>
      </c>
      <c r="C46" t="s">
        <v>221</v>
      </c>
      <c r="D46" t="s">
        <v>222</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0" hidden="1" customHeight="1" x14ac:dyDescent="0.15">
      <c r="A47" t="s">
        <v>219</v>
      </c>
      <c r="B47" t="s">
        <v>220</v>
      </c>
      <c r="C47" t="s">
        <v>221</v>
      </c>
      <c r="D47" t="s">
        <v>222</v>
      </c>
      <c r="E47" s="1"/>
      <c r="F47" s="1"/>
      <c r="G47" s="1"/>
      <c r="H47" s="1"/>
      <c r="I47" s="1" t="str">
        <f>S46&amp;".1"</f>
        <v>....1</v>
      </c>
      <c r="L47" t="s">
        <v>521</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219</v>
      </c>
      <c r="B48" t="s">
        <v>220</v>
      </c>
      <c r="C48" t="s">
        <v>221</v>
      </c>
      <c r="D48" t="s">
        <v>222</v>
      </c>
      <c r="E48" s="1"/>
      <c r="F48" s="1"/>
      <c r="G48" s="1"/>
      <c r="H48" s="1"/>
      <c r="I48" s="1"/>
      <c r="J48" s="1" t="str">
        <f>S46&amp;".1"</f>
        <v>....1</v>
      </c>
      <c r="L48" t="s">
        <v>524</v>
      </c>
      <c r="P48" s="1"/>
      <c r="Q48" s="1">
        <v>1</v>
      </c>
      <c r="S48" t="str">
        <f>$J48</f>
        <v>....1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219</v>
      </c>
      <c r="B49" t="s">
        <v>220</v>
      </c>
      <c r="C49" t="s">
        <v>221</v>
      </c>
      <c r="D49" t="s">
        <v>222</v>
      </c>
      <c r="E49" s="1"/>
      <c r="F49" s="1"/>
      <c r="G49" s="1"/>
      <c r="H49" s="1"/>
      <c r="I49" s="1"/>
      <c r="J49" s="1"/>
      <c r="K49" s="1" t="str">
        <f>J48&amp;".1"</f>
        <v>....1.1</v>
      </c>
      <c r="L49" t="s">
        <v>527</v>
      </c>
      <c r="P49" s="1"/>
      <c r="Q49" s="1"/>
      <c r="R49">
        <v>1</v>
      </c>
      <c r="S49" t="str">
        <f>$K49</f>
        <v>....1.1</v>
      </c>
      <c r="Z49" s="1"/>
      <c r="AA49" s="1" t="s">
        <v>63</v>
      </c>
      <c r="AB49" s="1"/>
      <c r="AC49" s="1" t="s">
        <v>63</v>
      </c>
      <c r="AH49" s="1"/>
      <c r="AI49" s="1" t="s">
        <v>63</v>
      </c>
      <c r="AJ49" s="1"/>
      <c r="AK49" s="1" t="s">
        <v>63</v>
      </c>
      <c r="AM49" s="1" t="s">
        <v>566</v>
      </c>
      <c r="AN49" t="e">
        <f ca="1">STRCHECKDATE(V50:AL50)</f>
        <v>#NAME?</v>
      </c>
      <c r="AP49" t="str">
        <f t="shared" si="1"/>
        <v/>
      </c>
      <c r="AS49">
        <v>21</v>
      </c>
    </row>
    <row r="50" spans="1:45" ht="1.1499999999999999" customHeight="1" x14ac:dyDescent="0.15">
      <c r="A50" t="s">
        <v>219</v>
      </c>
      <c r="B50" t="s">
        <v>220</v>
      </c>
      <c r="C50" t="s">
        <v>221</v>
      </c>
      <c r="D50" t="s">
        <v>222</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219</v>
      </c>
      <c r="B51" t="s">
        <v>220</v>
      </c>
      <c r="C51" t="s">
        <v>221</v>
      </c>
      <c r="D51" t="s">
        <v>222</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219</v>
      </c>
      <c r="B52" t="s">
        <v>220</v>
      </c>
      <c r="C52" t="s">
        <v>221</v>
      </c>
      <c r="D52" t="s">
        <v>222</v>
      </c>
      <c r="E52" s="1"/>
      <c r="F52" s="1"/>
      <c r="G52" s="1"/>
      <c r="H52" s="1"/>
      <c r="I52" s="1"/>
      <c r="P52" s="1"/>
      <c r="T52" t="s">
        <v>530</v>
      </c>
      <c r="AP52" t="str">
        <f t="shared" si="1"/>
        <v>Добавить группу потребителей</v>
      </c>
      <c r="AS52">
        <v>11</v>
      </c>
    </row>
    <row r="53" spans="1:45" ht="0" hidden="1" customHeight="1" x14ac:dyDescent="0.15">
      <c r="A53" t="s">
        <v>219</v>
      </c>
      <c r="B53" t="s">
        <v>220</v>
      </c>
      <c r="C53" t="s">
        <v>221</v>
      </c>
      <c r="D53" t="s">
        <v>222</v>
      </c>
      <c r="E53" s="1"/>
      <c r="F53" s="1"/>
      <c r="G53" s="1"/>
      <c r="H53" s="1"/>
      <c r="AP53" t="str">
        <f t="shared" si="1"/>
        <v/>
      </c>
      <c r="AS53">
        <v>0</v>
      </c>
    </row>
    <row r="54" spans="1:45" ht="1.1499999999999999" customHeight="1" x14ac:dyDescent="0.15">
      <c r="A54" t="s">
        <v>219</v>
      </c>
      <c r="B54" t="s">
        <v>220</v>
      </c>
      <c r="C54" t="s">
        <v>221</v>
      </c>
      <c r="E54" s="1"/>
      <c r="F54" s="1"/>
      <c r="G54" s="1"/>
      <c r="T54" t="s">
        <v>532</v>
      </c>
      <c r="AP54" t="str">
        <f t="shared" si="1"/>
        <v>Добавить источник для дифференциации</v>
      </c>
      <c r="AS54">
        <v>1</v>
      </c>
    </row>
    <row r="55" spans="1:45" ht="1.1499999999999999" customHeight="1" x14ac:dyDescent="0.15">
      <c r="A55" t="s">
        <v>219</v>
      </c>
      <c r="B55" t="s">
        <v>220</v>
      </c>
      <c r="E55" s="1"/>
      <c r="F55" s="1"/>
      <c r="T55" t="s">
        <v>321</v>
      </c>
      <c r="AP55" t="str">
        <f t="shared" si="1"/>
        <v>Добавить централизованную систему для дифференциации</v>
      </c>
      <c r="AS55">
        <v>1</v>
      </c>
    </row>
    <row r="56" spans="1:45" ht="1.1499999999999999" customHeight="1" x14ac:dyDescent="0.15">
      <c r="A56" t="s">
        <v>219</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19.899999999999999" customHeight="1" x14ac:dyDescent="0.15">
      <c r="T59" s="1"/>
      <c r="U59" s="1"/>
      <c r="V59" s="1"/>
      <c r="W59" s="1"/>
      <c r="X59" s="1"/>
      <c r="Y59" s="1"/>
      <c r="Z59" s="1"/>
      <c r="AA59" s="1"/>
      <c r="AB59" s="1"/>
      <c r="AC59" s="1"/>
      <c r="AD59" s="1"/>
      <c r="AE59" s="1"/>
      <c r="AF59" s="1"/>
      <c r="AG59" s="1"/>
      <c r="AH59" s="1"/>
      <c r="AI59" s="1"/>
      <c r="AJ59" s="1"/>
      <c r="AK59" s="1"/>
      <c r="AL59" s="1"/>
      <c r="AM59" s="1"/>
      <c r="AS59">
        <v>19</v>
      </c>
    </row>
    <row r="60" spans="1:45" ht="29.25" customHeight="1" x14ac:dyDescent="0.15">
      <c r="T60" s="1"/>
      <c r="U60" s="1"/>
      <c r="V60" s="1"/>
      <c r="W60" s="1"/>
      <c r="X60" s="1"/>
      <c r="Y60" s="1"/>
      <c r="Z60" s="1"/>
      <c r="AA60" s="1"/>
      <c r="AB60" s="1"/>
      <c r="AC60" s="1"/>
      <c r="AD60" s="1"/>
      <c r="AE60" s="1"/>
      <c r="AF60" s="1"/>
      <c r="AG60" s="1"/>
      <c r="AH60" s="1"/>
      <c r="AI60" s="1"/>
      <c r="AJ60" s="1"/>
      <c r="AK60" s="1"/>
      <c r="AL60" s="1"/>
      <c r="AM60" s="1"/>
      <c r="AS60">
        <v>28</v>
      </c>
    </row>
    <row r="61" spans="1:45" ht="42" customHeight="1" x14ac:dyDescent="0.15">
      <c r="T61" s="1"/>
      <c r="U61" s="1"/>
      <c r="V61" s="1"/>
      <c r="W61" s="1"/>
      <c r="X61" s="1"/>
      <c r="Y61" s="1"/>
      <c r="Z61" s="1"/>
      <c r="AA61" s="1"/>
      <c r="AB61" s="1"/>
      <c r="AC61" s="1"/>
      <c r="AD61" s="1"/>
      <c r="AE61" s="1"/>
      <c r="AF61" s="1"/>
      <c r="AG61" s="1"/>
      <c r="AH61" s="1"/>
      <c r="AI61" s="1"/>
      <c r="AJ61" s="1"/>
      <c r="AK61" s="1"/>
      <c r="AL61" s="1"/>
      <c r="AM61" s="1"/>
      <c r="AS61">
        <v>40</v>
      </c>
    </row>
    <row r="62" spans="1:45" ht="14.65" customHeight="1" x14ac:dyDescent="0.15">
      <c r="AS62">
        <v>14</v>
      </c>
    </row>
    <row r="63" spans="1:45" ht="21" customHeight="1" x14ac:dyDescent="0.15">
      <c r="T63" s="1"/>
      <c r="U63" s="1"/>
      <c r="V63" s="1"/>
      <c r="W63" s="1"/>
      <c r="X63" s="1"/>
      <c r="Y63" s="1"/>
      <c r="Z63" s="1"/>
      <c r="AA63" s="1"/>
      <c r="AB63" s="1"/>
      <c r="AC63" s="1"/>
      <c r="AD63" s="1"/>
      <c r="AE63" s="1"/>
      <c r="AF63" s="1"/>
      <c r="AG63" s="1"/>
      <c r="AH63" s="1"/>
      <c r="AI63" s="1"/>
      <c r="AJ63" s="1"/>
      <c r="AK63" s="1"/>
      <c r="AL63" s="1"/>
      <c r="AM63" s="1"/>
      <c r="AS63">
        <v>20</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35.65" customHeight="1" x14ac:dyDescent="0.15">
      <c r="T65" s="1"/>
      <c r="U65" s="1"/>
      <c r="V65" s="1"/>
      <c r="W65" s="1"/>
      <c r="X65" s="1"/>
      <c r="Y65" s="1"/>
      <c r="Z65" s="1"/>
      <c r="AA65" s="1"/>
      <c r="AB65" s="1"/>
      <c r="AC65" s="1"/>
      <c r="AD65" s="1"/>
      <c r="AE65" s="1"/>
      <c r="AF65" s="1"/>
      <c r="AG65" s="1"/>
      <c r="AH65" s="1"/>
      <c r="AI65" s="1"/>
      <c r="AJ65" s="1"/>
      <c r="AK65" s="1"/>
      <c r="AL65" s="1"/>
      <c r="AM65" s="1"/>
      <c r="AS65">
        <v>34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0.75" hidden="1" customHeight="1" x14ac:dyDescent="0.15">
      <c r="E6" s="1"/>
      <c r="F6" s="1"/>
      <c r="G6" s="1"/>
      <c r="H6" s="1"/>
      <c r="I6" s="1" t="e">
        <f>S5&amp;".1"</f>
        <v>#N/A</v>
      </c>
      <c r="L6" t="s">
        <v>521</v>
      </c>
      <c r="P6" s="1">
        <v>1</v>
      </c>
      <c r="V6" s="1"/>
      <c r="W6" s="1"/>
      <c r="X6" s="1"/>
      <c r="Y6" s="1"/>
      <c r="Z6" s="1"/>
      <c r="AA6" s="1"/>
      <c r="AB6" s="1"/>
      <c r="AC6" s="1"/>
      <c r="AD6" s="1"/>
      <c r="AE6" s="1"/>
      <c r="AF6" s="1"/>
      <c r="AG6" s="1"/>
      <c r="AH6" s="1"/>
      <c r="AI6" s="1"/>
      <c r="AJ6" s="1"/>
      <c r="AK6" s="1"/>
      <c r="AL6" s="1"/>
      <c r="AP6" t="str">
        <f t="shared" si="0"/>
        <v/>
      </c>
      <c r="AS6">
        <v>0</v>
      </c>
    </row>
    <row r="7" spans="5:45" ht="84"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11.25"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0.7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1.2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1.25" hidden="1" customHeight="1" x14ac:dyDescent="0.15">
      <c r="E11" s="1"/>
      <c r="F11" s="1"/>
      <c r="G11" s="1"/>
      <c r="H11" s="1"/>
      <c r="I11" s="1"/>
      <c r="P11" s="1"/>
      <c r="T11" t="s">
        <v>530</v>
      </c>
      <c r="AP11" t="str">
        <f t="shared" si="0"/>
        <v>Добавить группу потребителей</v>
      </c>
      <c r="AS11">
        <v>0</v>
      </c>
    </row>
    <row r="12" spans="5:45" ht="0.75" hidden="1" customHeight="1" x14ac:dyDescent="0.15">
      <c r="E12" s="1"/>
      <c r="F12" s="1"/>
      <c r="G12" s="1"/>
      <c r="H12" s="1"/>
      <c r="AP12" t="str">
        <f t="shared" si="0"/>
        <v/>
      </c>
      <c r="AS12">
        <v>0</v>
      </c>
    </row>
    <row r="13" spans="5:45" ht="0.75" hidden="1" customHeight="1" x14ac:dyDescent="0.15">
      <c r="E13" s="1"/>
      <c r="F13" s="1"/>
      <c r="G13" s="1"/>
      <c r="T13" t="s">
        <v>532</v>
      </c>
      <c r="AP13" t="str">
        <f t="shared" si="0"/>
        <v>Добавить источник для дифференциации</v>
      </c>
      <c r="AS13">
        <v>0</v>
      </c>
    </row>
    <row r="14" spans="5:45" ht="0.75" hidden="1" customHeight="1" x14ac:dyDescent="0.15">
      <c r="E14" s="1"/>
      <c r="F14" s="1"/>
      <c r="T14" t="s">
        <v>321</v>
      </c>
      <c r="AP14" t="str">
        <f t="shared" si="0"/>
        <v>Добавить централизованную систему для дифференциации</v>
      </c>
      <c r="AS14">
        <v>0</v>
      </c>
    </row>
    <row r="15" spans="5:45" ht="0.7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54.75"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52</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18.7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c r="X40" s="1" t="s">
        <v>551</v>
      </c>
      <c r="Y40" s="1"/>
      <c r="Z40" s="1" t="s">
        <v>552</v>
      </c>
      <c r="AA40" s="1"/>
      <c r="AB40" s="1"/>
      <c r="AC40" s="1"/>
      <c r="AD40" s="1" t="s">
        <v>565</v>
      </c>
      <c r="AE40" s="1"/>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231</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231</v>
      </c>
      <c r="B44" t="s">
        <v>232</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231</v>
      </c>
      <c r="B45" t="s">
        <v>232</v>
      </c>
      <c r="C45" t="s">
        <v>233</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231</v>
      </c>
      <c r="B46" t="s">
        <v>232</v>
      </c>
      <c r="C46" t="s">
        <v>233</v>
      </c>
      <c r="D46" t="s">
        <v>234</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0" hidden="1" customHeight="1" x14ac:dyDescent="0.15">
      <c r="A47" t="s">
        <v>231</v>
      </c>
      <c r="B47" t="s">
        <v>232</v>
      </c>
      <c r="C47" t="s">
        <v>233</v>
      </c>
      <c r="D47" t="s">
        <v>234</v>
      </c>
      <c r="E47" s="1"/>
      <c r="F47" s="1"/>
      <c r="G47" s="1"/>
      <c r="H47" s="1"/>
      <c r="I47" s="1" t="str">
        <f>S46&amp;".1"</f>
        <v>....1</v>
      </c>
      <c r="L47" t="s">
        <v>521</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231</v>
      </c>
      <c r="B48" t="s">
        <v>232</v>
      </c>
      <c r="C48" t="s">
        <v>233</v>
      </c>
      <c r="D48" t="s">
        <v>234</v>
      </c>
      <c r="E48" s="1"/>
      <c r="F48" s="1"/>
      <c r="G48" s="1"/>
      <c r="H48" s="1"/>
      <c r="I48" s="1"/>
      <c r="J48" s="1" t="str">
        <f>S46&amp;".1"</f>
        <v>....1</v>
      </c>
      <c r="L48" t="s">
        <v>524</v>
      </c>
      <c r="P48" s="1"/>
      <c r="Q48" s="1">
        <v>1</v>
      </c>
      <c r="S48" t="str">
        <f>$J48</f>
        <v>....1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231</v>
      </c>
      <c r="B49" t="s">
        <v>232</v>
      </c>
      <c r="C49" t="s">
        <v>233</v>
      </c>
      <c r="D49" t="s">
        <v>234</v>
      </c>
      <c r="E49" s="1"/>
      <c r="F49" s="1"/>
      <c r="G49" s="1"/>
      <c r="H49" s="1"/>
      <c r="I49" s="1"/>
      <c r="J49" s="1"/>
      <c r="K49" s="1" t="str">
        <f>J48&amp;".1"</f>
        <v>....1.1</v>
      </c>
      <c r="L49" t="s">
        <v>527</v>
      </c>
      <c r="P49" s="1"/>
      <c r="Q49" s="1"/>
      <c r="R49">
        <v>1</v>
      </c>
      <c r="S49" t="str">
        <f>$K49</f>
        <v>....1.1</v>
      </c>
      <c r="Z49" s="1"/>
      <c r="AA49" s="1" t="s">
        <v>63</v>
      </c>
      <c r="AB49" s="1"/>
      <c r="AC49" s="1" t="s">
        <v>63</v>
      </c>
      <c r="AH49" s="1"/>
      <c r="AI49" s="1" t="s">
        <v>63</v>
      </c>
      <c r="AJ49" s="1"/>
      <c r="AK49" s="1" t="s">
        <v>63</v>
      </c>
      <c r="AM49" s="1" t="s">
        <v>566</v>
      </c>
      <c r="AN49" t="e">
        <f ca="1">STRCHECKDATE(V50:AL50)</f>
        <v>#NAME?</v>
      </c>
      <c r="AP49" t="str">
        <f t="shared" si="1"/>
        <v/>
      </c>
      <c r="AS49">
        <v>21</v>
      </c>
    </row>
    <row r="50" spans="1:45" ht="1.1499999999999999" customHeight="1" x14ac:dyDescent="0.15">
      <c r="A50" t="s">
        <v>231</v>
      </c>
      <c r="B50" t="s">
        <v>232</v>
      </c>
      <c r="C50" t="s">
        <v>233</v>
      </c>
      <c r="D50" t="s">
        <v>234</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1</v>
      </c>
    </row>
    <row r="51" spans="1:45" ht="11.45" customHeight="1" x14ac:dyDescent="0.15">
      <c r="A51" t="s">
        <v>231</v>
      </c>
      <c r="B51" t="s">
        <v>232</v>
      </c>
      <c r="C51" t="s">
        <v>233</v>
      </c>
      <c r="D51" t="s">
        <v>234</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231</v>
      </c>
      <c r="B52" t="s">
        <v>232</v>
      </c>
      <c r="C52" t="s">
        <v>233</v>
      </c>
      <c r="D52" t="s">
        <v>234</v>
      </c>
      <c r="E52" s="1"/>
      <c r="F52" s="1"/>
      <c r="G52" s="1"/>
      <c r="H52" s="1"/>
      <c r="I52" s="1"/>
      <c r="P52" s="1"/>
      <c r="T52" t="s">
        <v>530</v>
      </c>
      <c r="AP52" t="str">
        <f t="shared" si="1"/>
        <v>Добавить группу потребителей</v>
      </c>
      <c r="AS52">
        <v>11</v>
      </c>
    </row>
    <row r="53" spans="1:45" ht="0" hidden="1" customHeight="1" x14ac:dyDescent="0.15">
      <c r="A53" t="s">
        <v>231</v>
      </c>
      <c r="B53" t="s">
        <v>232</v>
      </c>
      <c r="C53" t="s">
        <v>233</v>
      </c>
      <c r="D53" t="s">
        <v>234</v>
      </c>
      <c r="E53" s="1"/>
      <c r="F53" s="1"/>
      <c r="G53" s="1"/>
      <c r="H53" s="1"/>
      <c r="AP53" t="str">
        <f t="shared" si="1"/>
        <v/>
      </c>
      <c r="AS53">
        <v>0</v>
      </c>
    </row>
    <row r="54" spans="1:45" ht="1.1499999999999999" customHeight="1" x14ac:dyDescent="0.15">
      <c r="A54" t="s">
        <v>231</v>
      </c>
      <c r="B54" t="s">
        <v>232</v>
      </c>
      <c r="C54" t="s">
        <v>233</v>
      </c>
      <c r="E54" s="1"/>
      <c r="F54" s="1"/>
      <c r="G54" s="1"/>
      <c r="T54" t="s">
        <v>532</v>
      </c>
      <c r="AP54" t="str">
        <f t="shared" si="1"/>
        <v>Добавить источник для дифференциации</v>
      </c>
      <c r="AS54">
        <v>1</v>
      </c>
    </row>
    <row r="55" spans="1:45" ht="1.1499999999999999" customHeight="1" x14ac:dyDescent="0.15">
      <c r="A55" t="s">
        <v>231</v>
      </c>
      <c r="B55" t="s">
        <v>232</v>
      </c>
      <c r="E55" s="1"/>
      <c r="F55" s="1"/>
      <c r="T55" t="s">
        <v>321</v>
      </c>
      <c r="AP55" t="str">
        <f t="shared" si="1"/>
        <v>Добавить централизованную систему для дифференциации</v>
      </c>
      <c r="AS55">
        <v>1</v>
      </c>
    </row>
    <row r="56" spans="1:45" ht="1.1499999999999999" customHeight="1" x14ac:dyDescent="0.15">
      <c r="A56" t="s">
        <v>231</v>
      </c>
      <c r="E56" s="1"/>
      <c r="T56" t="s">
        <v>385</v>
      </c>
      <c r="AP56" t="str">
        <f t="shared" si="1"/>
        <v>Добавить территорию для дифференциации</v>
      </c>
      <c r="AS56">
        <v>1</v>
      </c>
    </row>
    <row r="57" spans="1:45" ht="1.1499999999999999" customHeight="1" x14ac:dyDescent="0.15">
      <c r="T57" t="s">
        <v>386</v>
      </c>
      <c r="AP57" t="str">
        <f t="shared" si="1"/>
        <v>Добавить наименование тарифа</v>
      </c>
      <c r="AS57">
        <v>1</v>
      </c>
    </row>
    <row r="58" spans="1:45" ht="11.45" customHeight="1" x14ac:dyDescent="0.15">
      <c r="AS58">
        <v>11</v>
      </c>
    </row>
    <row r="59" spans="1:45" ht="23.25" customHeight="1" x14ac:dyDescent="0.15">
      <c r="T59" s="1"/>
      <c r="U59" s="1"/>
      <c r="V59" s="1"/>
      <c r="W59" s="1"/>
      <c r="X59" s="1"/>
      <c r="Y59" s="1"/>
      <c r="Z59" s="1"/>
      <c r="AA59" s="1"/>
      <c r="AB59" s="1"/>
      <c r="AC59" s="1"/>
      <c r="AD59" s="1"/>
      <c r="AE59" s="1"/>
      <c r="AF59" s="1"/>
      <c r="AG59" s="1"/>
      <c r="AH59" s="1"/>
      <c r="AI59" s="1"/>
      <c r="AJ59" s="1"/>
      <c r="AK59" s="1"/>
      <c r="AL59" s="1"/>
      <c r="AM59" s="1"/>
      <c r="AS59">
        <v>22</v>
      </c>
    </row>
    <row r="60" spans="1:45" ht="30.4" customHeight="1" x14ac:dyDescent="0.15">
      <c r="T60" s="1"/>
      <c r="U60" s="1"/>
      <c r="V60" s="1"/>
      <c r="W60" s="1"/>
      <c r="X60" s="1"/>
      <c r="Y60" s="1"/>
      <c r="Z60" s="1"/>
      <c r="AA60" s="1"/>
      <c r="AB60" s="1"/>
      <c r="AC60" s="1"/>
      <c r="AD60" s="1"/>
      <c r="AE60" s="1"/>
      <c r="AF60" s="1"/>
      <c r="AG60" s="1"/>
      <c r="AH60" s="1"/>
      <c r="AI60" s="1"/>
      <c r="AJ60" s="1"/>
      <c r="AK60" s="1"/>
      <c r="AL60" s="1"/>
      <c r="AM60" s="1"/>
      <c r="AS60">
        <v>29</v>
      </c>
    </row>
    <row r="61" spans="1:45" ht="42" customHeight="1" x14ac:dyDescent="0.15">
      <c r="T61" s="1"/>
      <c r="U61" s="1"/>
      <c r="V61" s="1"/>
      <c r="W61" s="1"/>
      <c r="X61" s="1"/>
      <c r="Y61" s="1"/>
      <c r="Z61" s="1"/>
      <c r="AA61" s="1"/>
      <c r="AB61" s="1"/>
      <c r="AC61" s="1"/>
      <c r="AD61" s="1"/>
      <c r="AE61" s="1"/>
      <c r="AF61" s="1"/>
      <c r="AG61" s="1"/>
      <c r="AH61" s="1"/>
      <c r="AI61" s="1"/>
      <c r="AJ61" s="1"/>
      <c r="AK61" s="1"/>
      <c r="AL61" s="1"/>
      <c r="AM61" s="1"/>
      <c r="AS61">
        <v>40</v>
      </c>
    </row>
    <row r="62" spans="1:45" ht="14.65" customHeight="1" x14ac:dyDescent="0.15">
      <c r="AS62">
        <v>14</v>
      </c>
    </row>
    <row r="63" spans="1:45" ht="21" customHeight="1" x14ac:dyDescent="0.15">
      <c r="T63" s="1"/>
      <c r="U63" s="1"/>
      <c r="V63" s="1"/>
      <c r="W63" s="1"/>
      <c r="X63" s="1"/>
      <c r="Y63" s="1"/>
      <c r="Z63" s="1"/>
      <c r="AA63" s="1"/>
      <c r="AB63" s="1"/>
      <c r="AC63" s="1"/>
      <c r="AD63" s="1"/>
      <c r="AE63" s="1"/>
      <c r="AF63" s="1"/>
      <c r="AG63" s="1"/>
      <c r="AH63" s="1"/>
      <c r="AI63" s="1"/>
      <c r="AJ63" s="1"/>
      <c r="AK63" s="1"/>
      <c r="AL63" s="1"/>
      <c r="AM63" s="1"/>
      <c r="AS63">
        <v>20</v>
      </c>
    </row>
    <row r="64" spans="1:45" ht="29.25" customHeight="1" x14ac:dyDescent="0.15">
      <c r="T64" s="1"/>
      <c r="U64" s="1"/>
      <c r="V64" s="1"/>
      <c r="W64" s="1"/>
      <c r="X64" s="1"/>
      <c r="Y64" s="1"/>
      <c r="Z64" s="1"/>
      <c r="AA64" s="1"/>
      <c r="AB64" s="1"/>
      <c r="AC64" s="1"/>
      <c r="AD64" s="1"/>
      <c r="AE64" s="1"/>
      <c r="AF64" s="1"/>
      <c r="AG64" s="1"/>
      <c r="AH64" s="1"/>
      <c r="AI64" s="1"/>
      <c r="AJ64" s="1"/>
      <c r="AK64" s="1"/>
      <c r="AL64" s="1"/>
      <c r="AM64" s="1"/>
      <c r="AS64">
        <v>28</v>
      </c>
    </row>
    <row r="65" spans="1:45" ht="35.65" customHeight="1" x14ac:dyDescent="0.15">
      <c r="T65" s="1"/>
      <c r="U65" s="1"/>
      <c r="V65" s="1"/>
      <c r="W65" s="1"/>
      <c r="X65" s="1"/>
      <c r="Y65" s="1"/>
      <c r="Z65" s="1"/>
      <c r="AA65" s="1"/>
      <c r="AB65" s="1"/>
      <c r="AC65" s="1"/>
      <c r="AD65" s="1"/>
      <c r="AE65" s="1"/>
      <c r="AF65" s="1"/>
      <c r="AG65" s="1"/>
      <c r="AH65" s="1"/>
      <c r="AI65" s="1"/>
      <c r="AJ65" s="1"/>
      <c r="AK65" s="1"/>
      <c r="AL65" s="1"/>
      <c r="AM65" s="1"/>
      <c r="AS65">
        <v>34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 customWidth="1"/>
    <col min="19" max="19" width="12" customWidth="1"/>
    <col min="20" max="20" width="31"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 customWidth="1"/>
    <col min="34" max="34" width="11" customWidth="1"/>
    <col min="35" max="35" width="3.7109375" customWidth="1"/>
    <col min="36" max="36" width="11" customWidth="1"/>
    <col min="37" max="37" width="8.5703125" hidden="1" customWidth="1"/>
    <col min="38" max="38" width="4" customWidth="1"/>
    <col min="39" max="39" width="115" customWidth="1"/>
    <col min="40" max="44" width="10" customWidth="1"/>
    <col min="45" max="45" width="10.5703125" hidden="1"/>
  </cols>
  <sheetData>
    <row r="1" spans="5:45" ht="22.5" hidden="1" customHeight="1" x14ac:dyDescent="0.15">
      <c r="AS1" t="s">
        <v>14</v>
      </c>
    </row>
    <row r="2" spans="5:45"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t="s">
        <v>514</v>
      </c>
      <c r="AP2" t="str">
        <f t="shared" ref="AP2:AP15" si="0">IF(T2="","",T2)</f>
        <v>Наименование тарифа</v>
      </c>
      <c r="AS2">
        <v>0</v>
      </c>
    </row>
    <row r="3" spans="5:45"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t="s">
        <v>516</v>
      </c>
      <c r="AP3" t="str">
        <f t="shared" si="0"/>
        <v>Территория действия тарифа</v>
      </c>
      <c r="AS3">
        <v>0</v>
      </c>
    </row>
    <row r="4" spans="5:45" ht="23.25" hidden="1" customHeight="1" x14ac:dyDescent="0.15">
      <c r="E4" s="1"/>
      <c r="F4" s="1"/>
      <c r="G4" s="1">
        <v>1</v>
      </c>
      <c r="S4" t="e">
        <f>INDEX(PT_DIFFERENTIATION_NUM_CS,MATCH(C4,PT_DIFFERENTIATION_CS_ID,0))</f>
        <v>#N/A</v>
      </c>
      <c r="T4" t="s">
        <v>517</v>
      </c>
      <c r="V4" s="1"/>
      <c r="W4" s="1"/>
      <c r="X4" s="1"/>
      <c r="Y4" s="1"/>
      <c r="Z4" s="1"/>
      <c r="AA4" s="1"/>
      <c r="AB4" s="1"/>
      <c r="AC4" s="1"/>
      <c r="AD4" s="1" t="e">
        <f>INDEX(PT_DIFFERENTIATION_CS,MATCH(C4,PT_DIFFERENTIATION_CS_ID,0))</f>
        <v>#N/A</v>
      </c>
      <c r="AE4" s="1"/>
      <c r="AF4" s="1"/>
      <c r="AG4" s="1"/>
      <c r="AH4" s="1"/>
      <c r="AI4" s="1"/>
      <c r="AJ4" s="1"/>
      <c r="AK4" s="1"/>
      <c r="AL4" s="1"/>
      <c r="AM4" t="s">
        <v>518</v>
      </c>
      <c r="AP4" t="str">
        <f t="shared" si="0"/>
        <v xml:space="preserve">Наименование системы теплоснабжения </v>
      </c>
      <c r="AS4">
        <v>0</v>
      </c>
    </row>
    <row r="5" spans="5:45" ht="21" hidden="1" customHeight="1" x14ac:dyDescent="0.15">
      <c r="E5" s="1"/>
      <c r="F5" s="1"/>
      <c r="G5" s="1"/>
      <c r="H5" s="1">
        <v>1</v>
      </c>
      <c r="S5" t="e">
        <f>INDEX(PT_DIFFERENTIATION_NUM_IST_TE,MATCH(D5,PT_DIFFERENTIATION_IST_TE_ID,0))</f>
        <v>#N/A</v>
      </c>
      <c r="T5" t="s">
        <v>519</v>
      </c>
      <c r="V5" s="1"/>
      <c r="W5" s="1"/>
      <c r="X5" s="1"/>
      <c r="Y5" s="1"/>
      <c r="Z5" s="1"/>
      <c r="AA5" s="1"/>
      <c r="AB5" s="1"/>
      <c r="AC5" s="1"/>
      <c r="AD5" s="1" t="e">
        <f>INDEX(PT_DIFFERENTIATION_IST_TE,MATCH(D5,PT_DIFFERENTIATION_IST_TE_ID,0))</f>
        <v>#N/A</v>
      </c>
      <c r="AE5" s="1"/>
      <c r="AF5" s="1"/>
      <c r="AG5" s="1"/>
      <c r="AH5" s="1"/>
      <c r="AI5" s="1"/>
      <c r="AJ5" s="1"/>
      <c r="AK5" s="1"/>
      <c r="AL5" s="1"/>
      <c r="AM5" t="s">
        <v>520</v>
      </c>
      <c r="AP5" t="str">
        <f t="shared" si="0"/>
        <v xml:space="preserve">Источник тепловой энергии  </v>
      </c>
      <c r="AS5">
        <v>0</v>
      </c>
    </row>
    <row r="6" spans="5:45" ht="14.25" hidden="1" customHeight="1" x14ac:dyDescent="0.15">
      <c r="E6" s="1"/>
      <c r="F6" s="1"/>
      <c r="G6" s="1"/>
      <c r="H6" s="1"/>
      <c r="I6" s="1" t="e">
        <f>S5&amp;".1"</f>
        <v>#N/A</v>
      </c>
      <c r="L6" t="s">
        <v>521</v>
      </c>
      <c r="P6" s="1">
        <v>1</v>
      </c>
      <c r="V6" s="1"/>
      <c r="W6" s="1"/>
      <c r="X6" s="1"/>
      <c r="Y6" s="1"/>
      <c r="Z6" s="1"/>
      <c r="AA6" s="1"/>
      <c r="AB6" s="1"/>
      <c r="AC6" s="1"/>
      <c r="AD6" s="1"/>
      <c r="AE6" s="1"/>
      <c r="AF6" s="1"/>
      <c r="AG6" s="1"/>
      <c r="AH6" s="1"/>
      <c r="AI6" s="1"/>
      <c r="AJ6" s="1"/>
      <c r="AK6" s="1"/>
      <c r="AL6" s="1"/>
      <c r="AP6" t="str">
        <f t="shared" si="0"/>
        <v/>
      </c>
      <c r="AS6">
        <v>0</v>
      </c>
    </row>
    <row r="7" spans="5:45" ht="21" hidden="1" customHeight="1" x14ac:dyDescent="0.15">
      <c r="E7" s="1"/>
      <c r="F7" s="1"/>
      <c r="G7" s="1"/>
      <c r="H7" s="1"/>
      <c r="I7" s="1"/>
      <c r="J7" s="1" t="e">
        <f>I6&amp;".1"</f>
        <v>#N/A</v>
      </c>
      <c r="L7" t="s">
        <v>524</v>
      </c>
      <c r="P7" s="1"/>
      <c r="Q7" s="1">
        <v>1</v>
      </c>
      <c r="S7" t="e">
        <f>$J7</f>
        <v>#N/A</v>
      </c>
      <c r="T7" t="s">
        <v>525</v>
      </c>
      <c r="V7" s="1"/>
      <c r="W7" s="1"/>
      <c r="X7" s="1"/>
      <c r="Y7" s="1"/>
      <c r="Z7" s="1"/>
      <c r="AA7" s="1"/>
      <c r="AB7" s="1"/>
      <c r="AC7" s="1"/>
      <c r="AD7" s="1"/>
      <c r="AE7" s="1"/>
      <c r="AF7" s="1"/>
      <c r="AG7" s="1"/>
      <c r="AH7" s="1"/>
      <c r="AI7" s="1"/>
      <c r="AJ7" s="1"/>
      <c r="AK7" s="1"/>
      <c r="AL7" s="1"/>
      <c r="AM7" t="s">
        <v>526</v>
      </c>
      <c r="AP7" t="str">
        <f t="shared" si="0"/>
        <v>Группа потребителей</v>
      </c>
      <c r="AS7">
        <v>0</v>
      </c>
    </row>
    <row r="8" spans="5:45" ht="21" hidden="1" customHeight="1" x14ac:dyDescent="0.15">
      <c r="E8" s="1"/>
      <c r="F8" s="1"/>
      <c r="G8" s="1"/>
      <c r="H8" s="1"/>
      <c r="I8" s="1"/>
      <c r="J8" s="1"/>
      <c r="K8" s="1" t="e">
        <f>J7&amp;".1"</f>
        <v>#N/A</v>
      </c>
      <c r="L8" t="s">
        <v>527</v>
      </c>
      <c r="P8" s="1"/>
      <c r="Q8" s="1"/>
      <c r="R8">
        <v>1</v>
      </c>
      <c r="S8" t="e">
        <f>$K8</f>
        <v>#N/A</v>
      </c>
      <c r="Z8" s="1"/>
      <c r="AA8" s="1" t="s">
        <v>63</v>
      </c>
      <c r="AB8" s="1"/>
      <c r="AC8" s="1" t="s">
        <v>63</v>
      </c>
      <c r="AH8" s="1"/>
      <c r="AI8" s="1" t="s">
        <v>63</v>
      </c>
      <c r="AJ8" s="1"/>
      <c r="AK8" s="1" t="s">
        <v>63</v>
      </c>
      <c r="AM8" s="1" t="s">
        <v>528</v>
      </c>
      <c r="AN8" t="e">
        <f ca="1">STRCHECKDATE(V9:AL9)</f>
        <v>#NAME?</v>
      </c>
      <c r="AP8" t="str">
        <f t="shared" si="0"/>
        <v/>
      </c>
      <c r="AS8">
        <v>0</v>
      </c>
    </row>
    <row r="9" spans="5:45" ht="14.25" hidden="1" customHeight="1" x14ac:dyDescent="0.15">
      <c r="E9" s="1"/>
      <c r="F9" s="1"/>
      <c r="G9" s="1"/>
      <c r="H9" s="1"/>
      <c r="I9" s="1"/>
      <c r="J9" s="1"/>
      <c r="K9" s="1"/>
      <c r="P9" s="1"/>
      <c r="Q9" s="1"/>
      <c r="Y9" t="str">
        <f>Z8&amp;"-"&amp;AB8</f>
        <v>-</v>
      </c>
      <c r="Z9" s="1"/>
      <c r="AA9" s="1"/>
      <c r="AB9" s="1"/>
      <c r="AC9" s="1"/>
      <c r="AG9" t="str">
        <f>AH8&amp;"-"&amp;AJ8</f>
        <v>-</v>
      </c>
      <c r="AH9" s="1"/>
      <c r="AI9" s="1"/>
      <c r="AJ9" s="1"/>
      <c r="AK9" s="1"/>
      <c r="AM9" s="1"/>
      <c r="AP9" t="str">
        <f t="shared" si="0"/>
        <v/>
      </c>
      <c r="AS9">
        <v>0</v>
      </c>
    </row>
    <row r="10" spans="5:45" ht="15" hidden="1" customHeight="1" x14ac:dyDescent="0.15">
      <c r="E10" s="1"/>
      <c r="F10" s="1"/>
      <c r="G10" s="1"/>
      <c r="H10" s="1"/>
      <c r="I10" s="1"/>
      <c r="J10" s="1"/>
      <c r="P10" s="1"/>
      <c r="Q10" s="1"/>
      <c r="T10" t="s">
        <v>529</v>
      </c>
      <c r="AM10" s="1"/>
      <c r="AP10" t="str">
        <f t="shared" si="0"/>
        <v>Добавить вид теплоносителя (параметры теплоносителя)</v>
      </c>
      <c r="AS10">
        <v>0</v>
      </c>
    </row>
    <row r="11" spans="5:45" ht="11.25" hidden="1" customHeight="1" x14ac:dyDescent="0.15">
      <c r="E11" s="1"/>
      <c r="F11" s="1"/>
      <c r="G11" s="1"/>
      <c r="H11" s="1"/>
      <c r="I11" s="1"/>
      <c r="P11" s="1"/>
      <c r="T11" t="s">
        <v>530</v>
      </c>
      <c r="AP11" t="str">
        <f t="shared" si="0"/>
        <v>Добавить группу потребителей</v>
      </c>
      <c r="AS11">
        <v>0</v>
      </c>
    </row>
    <row r="12" spans="5:45" ht="14.25" hidden="1" customHeight="1" x14ac:dyDescent="0.15">
      <c r="E12" s="1"/>
      <c r="F12" s="1"/>
      <c r="G12" s="1"/>
      <c r="H12" s="1"/>
      <c r="AP12" t="str">
        <f t="shared" si="0"/>
        <v/>
      </c>
      <c r="AS12">
        <v>0</v>
      </c>
    </row>
    <row r="13" spans="5:45" ht="14.25" hidden="1" customHeight="1" x14ac:dyDescent="0.15">
      <c r="E13" s="1"/>
      <c r="F13" s="1"/>
      <c r="G13" s="1"/>
      <c r="T13" t="s">
        <v>532</v>
      </c>
      <c r="AP13" t="str">
        <f t="shared" si="0"/>
        <v>Добавить источник для дифференциации</v>
      </c>
      <c r="AS13">
        <v>0</v>
      </c>
    </row>
    <row r="14" spans="5:45" ht="14.25" hidden="1" customHeight="1" x14ac:dyDescent="0.15">
      <c r="E14" s="1"/>
      <c r="F14" s="1"/>
      <c r="T14" t="s">
        <v>321</v>
      </c>
      <c r="AP14" t="str">
        <f t="shared" si="0"/>
        <v>Добавить централизованную систему для дифференциации</v>
      </c>
      <c r="AS14">
        <v>0</v>
      </c>
    </row>
    <row r="15" spans="5:45" ht="14.25" hidden="1" customHeight="1" x14ac:dyDescent="0.15">
      <c r="E15" s="1"/>
      <c r="T15" t="s">
        <v>385</v>
      </c>
      <c r="AP15" t="str">
        <f t="shared" si="0"/>
        <v>Добавить территорию для дифференциации</v>
      </c>
      <c r="AS15">
        <v>0</v>
      </c>
    </row>
    <row r="16" spans="5:45" ht="14.25" hidden="1" customHeight="1" x14ac:dyDescent="0.15">
      <c r="AS16">
        <v>0</v>
      </c>
    </row>
    <row r="17" spans="15:45" ht="14.25" hidden="1" customHeight="1" x14ac:dyDescent="0.15">
      <c r="AH17" s="1"/>
      <c r="AI17" s="1" t="s">
        <v>63</v>
      </c>
      <c r="AJ17" s="1"/>
      <c r="AK17" s="1" t="s">
        <v>63</v>
      </c>
      <c r="AS17">
        <v>0</v>
      </c>
    </row>
    <row r="18" spans="15:45" ht="14.25" hidden="1" customHeight="1" x14ac:dyDescent="0.15">
      <c r="AG18" t="str">
        <f>AH17&amp;"-"&amp;AJ17</f>
        <v>-</v>
      </c>
      <c r="AH18" s="1"/>
      <c r="AI18" s="1"/>
      <c r="AJ18" s="1"/>
      <c r="AK18" s="1"/>
      <c r="AS18">
        <v>0</v>
      </c>
    </row>
    <row r="19" spans="15:45" ht="14.25" hidden="1" customHeight="1" x14ac:dyDescent="0.15">
      <c r="AS19">
        <v>0</v>
      </c>
    </row>
    <row r="20" spans="15:45" ht="22.5" hidden="1" customHeight="1" x14ac:dyDescent="0.15">
      <c r="O20" t="s">
        <v>533</v>
      </c>
      <c r="AS20">
        <v>0</v>
      </c>
    </row>
    <row r="21" spans="15:45" ht="14.25" hidden="1" customHeight="1" x14ac:dyDescent="0.15">
      <c r="AS21">
        <v>0</v>
      </c>
    </row>
    <row r="22" spans="15:45" ht="14.25" hidden="1" customHeight="1" x14ac:dyDescent="0.15">
      <c r="O22" t="s">
        <v>534</v>
      </c>
      <c r="T22" t="s">
        <v>535</v>
      </c>
      <c r="AA22" t="s">
        <v>536</v>
      </c>
      <c r="AC22" t="s">
        <v>537</v>
      </c>
      <c r="AD22" t="s">
        <v>535</v>
      </c>
      <c r="AI22" t="s">
        <v>538</v>
      </c>
      <c r="AK22" t="s">
        <v>537</v>
      </c>
      <c r="AS22">
        <v>0</v>
      </c>
    </row>
    <row r="23" spans="15:45" ht="14.25" hidden="1" customHeight="1" x14ac:dyDescent="0.15">
      <c r="AS23">
        <v>0</v>
      </c>
    </row>
    <row r="24" spans="15:45" ht="14.25" hidden="1" customHeight="1" x14ac:dyDescent="0.15">
      <c r="AS24">
        <v>0</v>
      </c>
    </row>
    <row r="25" spans="15:45" ht="14.65" customHeight="1" x14ac:dyDescent="0.15">
      <c r="AS25">
        <v>14</v>
      </c>
    </row>
    <row r="26" spans="15:45" ht="53.45" customHeight="1" x14ac:dyDescent="0.15">
      <c r="S26" s="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
      <c r="U26" s="1"/>
      <c r="V26" s="1"/>
      <c r="W26" s="1"/>
      <c r="X26" s="1"/>
      <c r="Y26" s="1"/>
      <c r="Z26" s="1"/>
      <c r="AA26" s="1"/>
      <c r="AB26" s="1"/>
      <c r="AC26" s="1"/>
      <c r="AD26" s="1"/>
      <c r="AE26" s="1"/>
      <c r="AF26" s="1"/>
      <c r="AG26" s="1"/>
      <c r="AH26" s="1"/>
      <c r="AI26" s="1"/>
      <c r="AJ26" s="1"/>
      <c r="AS26">
        <v>51</v>
      </c>
    </row>
    <row r="27" spans="15:45" ht="14.65" customHeight="1" x14ac:dyDescent="0.15">
      <c r="S27" s="1" t="str">
        <f>IF(org=0,"Не определено",org)</f>
        <v>КГУП "Примтеплоэнерго"</v>
      </c>
      <c r="T27" s="1"/>
      <c r="U27" s="1"/>
      <c r="V27" s="1"/>
      <c r="W27" s="1"/>
      <c r="X27" s="1"/>
      <c r="Y27" s="1"/>
      <c r="Z27" s="1"/>
      <c r="AA27" s="1"/>
      <c r="AB27" s="1"/>
      <c r="AC27" s="1"/>
      <c r="AD27" s="1"/>
      <c r="AE27" s="1"/>
      <c r="AF27" s="1"/>
      <c r="AG27" s="1"/>
      <c r="AH27" s="1"/>
      <c r="AI27" s="1"/>
      <c r="AJ27" s="1"/>
      <c r="AS27">
        <v>14</v>
      </c>
    </row>
    <row r="28" spans="15:45" ht="14.25" customHeight="1" x14ac:dyDescent="0.15">
      <c r="AS28">
        <v>0</v>
      </c>
    </row>
    <row r="29" spans="15:45" ht="25.5" customHeight="1" x14ac:dyDescent="0.15">
      <c r="S29" s="1" t="s">
        <v>42</v>
      </c>
      <c r="T29" s="1"/>
      <c r="V29" s="1" t="str">
        <f>IF(TITLE_NAME_OR_PR_CHANGE="",IF(TITLE_NAME_OR_PR="","",TITLE_NAME_OR_PR),TITLE_NAME_OR_PR_CHANGE)</f>
        <v>Агентство по тарифам Приморского края</v>
      </c>
      <c r="W29" s="1"/>
      <c r="X29" s="1"/>
      <c r="Y29" s="1"/>
      <c r="Z29" s="1"/>
      <c r="AA29" s="1"/>
      <c r="AB29" s="1"/>
      <c r="AD29" s="1" t="str">
        <f>IF(TITLE_NAME_OR_PR_CHANGE="",IF(TITLE_NAME_OR_PR="","",TITLE_NAME_OR_PR),TITLE_NAME_OR_PR_CHANGE)</f>
        <v>Агентство по тарифам Приморского края</v>
      </c>
      <c r="AE29" s="1"/>
      <c r="AF29" s="1"/>
      <c r="AG29" s="1"/>
      <c r="AH29" s="1"/>
      <c r="AI29" s="1"/>
      <c r="AJ29" s="1"/>
      <c r="AS29">
        <v>0</v>
      </c>
    </row>
    <row r="30" spans="15:45" ht="18.75" customHeight="1" x14ac:dyDescent="0.15">
      <c r="S30" s="1" t="s">
        <v>539</v>
      </c>
      <c r="T30" s="1"/>
      <c r="V30" s="1">
        <f>IF(TITLE_DATE_PR_CHANGE="",IF(TITLE_DATE_PR="","",TITLE_DATE_PR),TITLE_DATE_PR_CHANGE)</f>
        <v>45653.495844907404</v>
      </c>
      <c r="W30" s="1"/>
      <c r="X30" s="1"/>
      <c r="Y30" s="1"/>
      <c r="Z30" s="1"/>
      <c r="AA30" s="1"/>
      <c r="AB30" s="1"/>
      <c r="AD30" s="1">
        <f>IF(TITLE_DATE_PR_CHANGE="",IF(TITLE_DATE_PR="","",TITLE_DATE_PR),TITLE_DATE_PR_CHANGE)</f>
        <v>45653.495844907404</v>
      </c>
      <c r="AE30" s="1"/>
      <c r="AF30" s="1"/>
      <c r="AG30" s="1"/>
      <c r="AH30" s="1"/>
      <c r="AI30" s="1"/>
      <c r="AJ30" s="1"/>
      <c r="AS30">
        <v>0</v>
      </c>
    </row>
    <row r="31" spans="15:45" ht="18.75" customHeight="1" x14ac:dyDescent="0.15">
      <c r="S31" s="1" t="s">
        <v>540</v>
      </c>
      <c r="T31" s="1"/>
      <c r="V31" s="1" t="str">
        <f>IF(TITLE_NUMBER_PR_CHANGE="",IF(TITLE_NUMBER_PR="","",TITLE_NUMBER_PR),TITLE_NUMBER_PR_CHANGE)</f>
        <v>63/2</v>
      </c>
      <c r="W31" s="1"/>
      <c r="X31" s="1"/>
      <c r="Y31" s="1"/>
      <c r="Z31" s="1"/>
      <c r="AA31" s="1"/>
      <c r="AB31" s="1"/>
      <c r="AD31" s="1" t="str">
        <f>IF(TITLE_NUMBER_PR_CHANGE="",IF(TITLE_NUMBER_PR="","",TITLE_NUMBER_PR),TITLE_NUMBER_PR_CHANGE)</f>
        <v>63/2</v>
      </c>
      <c r="AE31" s="1"/>
      <c r="AF31" s="1"/>
      <c r="AG31" s="1"/>
      <c r="AH31" s="1"/>
      <c r="AI31" s="1"/>
      <c r="AJ31" s="1"/>
      <c r="AS31">
        <v>0</v>
      </c>
    </row>
    <row r="32" spans="15:45" ht="18.75" customHeight="1" x14ac:dyDescent="0.15">
      <c r="S32" s="1" t="s">
        <v>44</v>
      </c>
      <c r="T32" s="1"/>
      <c r="V32" s="1" t="str">
        <f>IF(TITLE_IST_PUB_CHANGE="",IF(TITLE_IST_PUB="","",TITLE_IST_PUB),TITLE_IST_PUB_CHANGE)</f>
        <v>http://pravo.gov.ru</v>
      </c>
      <c r="W32" s="1"/>
      <c r="X32" s="1"/>
      <c r="Y32" s="1"/>
      <c r="Z32" s="1"/>
      <c r="AA32" s="1"/>
      <c r="AB32" s="1"/>
      <c r="AD32" s="1" t="str">
        <f>IF(TITLE_IST_PUB_CHANGE="",IF(TITLE_IST_PUB="","",TITLE_IST_PUB),TITLE_IST_PUB_CHANGE)</f>
        <v>http://pravo.gov.ru</v>
      </c>
      <c r="AE32" s="1"/>
      <c r="AF32" s="1"/>
      <c r="AG32" s="1"/>
      <c r="AH32" s="1"/>
      <c r="AI32" s="1"/>
      <c r="AJ32" s="1"/>
      <c r="AS32">
        <v>0</v>
      </c>
    </row>
    <row r="33" spans="1:45" ht="14.25" hidden="1" customHeight="1" x14ac:dyDescent="0.15">
      <c r="AS33">
        <v>0</v>
      </c>
    </row>
    <row r="34" spans="1:45" ht="18.75" hidden="1" customHeight="1" x14ac:dyDescent="0.15">
      <c r="S34" s="1" t="s">
        <v>541</v>
      </c>
      <c r="T34" s="1"/>
      <c r="V34" s="1">
        <f>IF(TITLE_DATE_PR_CHANGE="",IF(TITLE_DATE_PR="","",TITLE_DATE_PR),TITLE_DATE_PR_CHANGE)</f>
        <v>45653.495844907404</v>
      </c>
      <c r="W34" s="1"/>
      <c r="X34" s="1"/>
      <c r="Y34" s="1"/>
      <c r="Z34" s="1"/>
      <c r="AA34" s="1"/>
      <c r="AB34" s="1"/>
      <c r="AD34" s="1">
        <f>IF(TITLE_DATE_PR_CHANGE="",IF(TITLE_DATE_PR="","",TITLE_DATE_PR),TITLE_DATE_PR_CHANGE)</f>
        <v>45653.495844907404</v>
      </c>
      <c r="AE34" s="1"/>
      <c r="AF34" s="1"/>
      <c r="AG34" s="1"/>
      <c r="AH34" s="1"/>
      <c r="AI34" s="1"/>
      <c r="AJ34" s="1"/>
      <c r="AS34">
        <v>0</v>
      </c>
    </row>
    <row r="35" spans="1:45" ht="25.5" hidden="1" customHeight="1" x14ac:dyDescent="0.15">
      <c r="S35" s="1" t="s">
        <v>542</v>
      </c>
      <c r="T35" s="1"/>
      <c r="V35" s="1" t="str">
        <f>IF(TITLE_NUMBER_PR_CHANGE="",IF(TITLE_NUMBER_PR="","",TITLE_NUMBER_PR),TITLE_NUMBER_PR_CHANGE)</f>
        <v>63/2</v>
      </c>
      <c r="W35" s="1"/>
      <c r="X35" s="1"/>
      <c r="Y35" s="1"/>
      <c r="Z35" s="1"/>
      <c r="AA35" s="1"/>
      <c r="AB35" s="1"/>
      <c r="AD35" s="1" t="str">
        <f>IF(TITLE_NUMBER_PR_CHANGE="",IF(TITLE_NUMBER_PR="","",TITLE_NUMBER_PR),TITLE_NUMBER_PR_CHANGE)</f>
        <v>63/2</v>
      </c>
      <c r="AE35" s="1"/>
      <c r="AF35" s="1"/>
      <c r="AG35" s="1"/>
      <c r="AH35" s="1"/>
      <c r="AI35" s="1"/>
      <c r="AJ35" s="1"/>
      <c r="AS35">
        <v>0</v>
      </c>
    </row>
    <row r="36" spans="1:45" ht="0" hidden="1" customHeight="1" x14ac:dyDescent="0.15">
      <c r="AC36" t="s">
        <v>543</v>
      </c>
      <c r="AK36" t="s">
        <v>543</v>
      </c>
      <c r="AS36">
        <v>0</v>
      </c>
    </row>
    <row r="37" spans="1:45" ht="14.65" customHeight="1" x14ac:dyDescent="0.15">
      <c r="V37" s="1"/>
      <c r="W37" s="1"/>
      <c r="X37" s="1"/>
      <c r="Y37" s="1"/>
      <c r="Z37" s="1"/>
      <c r="AA37" s="1"/>
      <c r="AB37" s="1"/>
      <c r="AC37" s="1"/>
      <c r="AD37" s="1"/>
      <c r="AE37" s="1"/>
      <c r="AF37" s="1"/>
      <c r="AG37" s="1"/>
      <c r="AH37" s="1"/>
      <c r="AI37" s="1"/>
      <c r="AJ37" s="1"/>
      <c r="AK37" s="1"/>
      <c r="AS37">
        <v>14</v>
      </c>
    </row>
    <row r="38" spans="1:45" ht="14.65" customHeight="1" x14ac:dyDescent="0.15">
      <c r="S38" s="1" t="s">
        <v>418</v>
      </c>
      <c r="T38" s="1"/>
      <c r="U38" s="1"/>
      <c r="V38" s="1"/>
      <c r="W38" s="1"/>
      <c r="X38" s="1"/>
      <c r="Y38" s="1"/>
      <c r="Z38" s="1"/>
      <c r="AA38" s="1"/>
      <c r="AB38" s="1"/>
      <c r="AC38" s="1"/>
      <c r="AD38" s="1"/>
      <c r="AE38" s="1"/>
      <c r="AF38" s="1"/>
      <c r="AG38" s="1"/>
      <c r="AH38" s="1"/>
      <c r="AI38" s="1"/>
      <c r="AJ38" s="1"/>
      <c r="AK38" s="1"/>
      <c r="AL38" s="1"/>
      <c r="AM38" s="1" t="s">
        <v>419</v>
      </c>
      <c r="AS38">
        <v>14</v>
      </c>
    </row>
    <row r="39" spans="1:45" ht="14.65" customHeight="1" x14ac:dyDescent="0.15">
      <c r="S39" s="1" t="s">
        <v>90</v>
      </c>
      <c r="T39" s="1" t="s">
        <v>544</v>
      </c>
      <c r="V39" s="1" t="s">
        <v>545</v>
      </c>
      <c r="W39" s="1"/>
      <c r="X39" s="1"/>
      <c r="Y39" s="1"/>
      <c r="Z39" s="1"/>
      <c r="AA39" s="1"/>
      <c r="AB39" s="1"/>
      <c r="AC39" s="1" t="s">
        <v>546</v>
      </c>
      <c r="AD39" s="1" t="s">
        <v>545</v>
      </c>
      <c r="AE39" s="1"/>
      <c r="AF39" s="1"/>
      <c r="AG39" s="1"/>
      <c r="AH39" s="1"/>
      <c r="AI39" s="1"/>
      <c r="AJ39" s="1"/>
      <c r="AK39" s="1" t="s">
        <v>547</v>
      </c>
      <c r="AL39" s="1" t="s">
        <v>548</v>
      </c>
      <c r="AM39" s="1"/>
      <c r="AS39">
        <v>14</v>
      </c>
    </row>
    <row r="40" spans="1:45" ht="35.65" customHeight="1" x14ac:dyDescent="0.15">
      <c r="S40" s="1"/>
      <c r="T40" s="1"/>
      <c r="V40" s="1" t="s">
        <v>549</v>
      </c>
      <c r="W40" s="1"/>
      <c r="X40" s="1" t="s">
        <v>551</v>
      </c>
      <c r="Y40" s="1"/>
      <c r="Z40" s="1" t="s">
        <v>552</v>
      </c>
      <c r="AA40" s="1"/>
      <c r="AB40" s="1"/>
      <c r="AC40" s="1"/>
      <c r="AD40" s="1" t="s">
        <v>565</v>
      </c>
      <c r="AE40" s="1"/>
      <c r="AF40" s="1" t="s">
        <v>551</v>
      </c>
      <c r="AG40" s="1"/>
      <c r="AH40" s="1" t="s">
        <v>552</v>
      </c>
      <c r="AI40" s="1"/>
      <c r="AJ40" s="1"/>
      <c r="AK40" s="1"/>
      <c r="AL40" s="1"/>
      <c r="AM40" s="1"/>
      <c r="AS40">
        <v>34</v>
      </c>
    </row>
    <row r="41" spans="1:45" ht="35.65" customHeight="1" x14ac:dyDescent="0.15">
      <c r="B41" t="s">
        <v>191</v>
      </c>
      <c r="C41" t="s">
        <v>192</v>
      </c>
      <c r="D41" t="s">
        <v>193</v>
      </c>
      <c r="E41" t="s">
        <v>553</v>
      </c>
      <c r="F41" t="s">
        <v>554</v>
      </c>
      <c r="G41" t="s">
        <v>555</v>
      </c>
      <c r="H41" t="s">
        <v>556</v>
      </c>
      <c r="I41" t="s">
        <v>557</v>
      </c>
      <c r="J41" t="s">
        <v>558</v>
      </c>
      <c r="K41" t="s">
        <v>559</v>
      </c>
      <c r="L41" t="s">
        <v>534</v>
      </c>
      <c r="S41" s="1"/>
      <c r="T41" s="1"/>
      <c r="V41" s="1"/>
      <c r="W41" s="1"/>
      <c r="X41" t="s">
        <v>560</v>
      </c>
      <c r="Y41" t="s">
        <v>561</v>
      </c>
      <c r="Z41" t="s">
        <v>562</v>
      </c>
      <c r="AA41" s="1" t="s">
        <v>563</v>
      </c>
      <c r="AB41" s="1"/>
      <c r="AC41" s="1"/>
      <c r="AD41" s="1"/>
      <c r="AE41" s="1"/>
      <c r="AF41" t="s">
        <v>560</v>
      </c>
      <c r="AG41" t="s">
        <v>561</v>
      </c>
      <c r="AH41" t="s">
        <v>562</v>
      </c>
      <c r="AI41" s="1" t="s">
        <v>563</v>
      </c>
      <c r="AJ41" s="1"/>
      <c r="AK41" s="1"/>
      <c r="AL41" s="1"/>
      <c r="AM41" s="1"/>
      <c r="AS41">
        <v>34</v>
      </c>
    </row>
    <row r="42" spans="1:45" ht="11.25" hidden="1" customHeight="1" x14ac:dyDescent="0.15">
      <c r="R42">
        <v>1</v>
      </c>
      <c r="S42" t="s">
        <v>101</v>
      </c>
      <c r="T42" t="s">
        <v>105</v>
      </c>
      <c r="U42" t="str">
        <f ca="1">OFFSET(U42,0,-1)</f>
        <v>2</v>
      </c>
      <c r="V42">
        <f ca="1">OFFSET(V42,0,-1)+1</f>
        <v>3</v>
      </c>
      <c r="X42">
        <f ca="1">OFFSET(X42,0,-1)+1</f>
        <v>1</v>
      </c>
      <c r="Y42">
        <f ca="1">OFFSET(Y42,0,-1)+1</f>
        <v>2</v>
      </c>
      <c r="Z42">
        <f ca="1">OFFSET(Z42,0,-1)+1</f>
        <v>3</v>
      </c>
      <c r="AA42" s="1">
        <f ca="1">OFFSET(AA42,0,-1)+1</f>
        <v>4</v>
      </c>
      <c r="AB42" s="1"/>
      <c r="AC42">
        <f ca="1">OFFSET(AC42,0,-2)+1</f>
        <v>5</v>
      </c>
      <c r="AD42">
        <f ca="1">OFFSET(AD42,0,-1)+1</f>
        <v>6</v>
      </c>
      <c r="AF42">
        <f ca="1">OFFSET(AF42,0,-1)+1</f>
        <v>1</v>
      </c>
      <c r="AG42">
        <f ca="1">OFFSET(AG42,0,-1)+1</f>
        <v>2</v>
      </c>
      <c r="AH42">
        <f ca="1">OFFSET(AH42,0,-1)+1</f>
        <v>3</v>
      </c>
      <c r="AI42" s="1">
        <f ca="1">OFFSET(AI42,0,-1)+1</f>
        <v>4</v>
      </c>
      <c r="AJ42" s="1"/>
      <c r="AK42">
        <f ca="1">OFFSET(AK42,0,-2)+1</f>
        <v>5</v>
      </c>
      <c r="AL42">
        <f ca="1">OFFSET(AL42,0,-1)</f>
        <v>5</v>
      </c>
      <c r="AM42">
        <f ca="1">OFFSET(AM42,0,-1)+1</f>
        <v>6</v>
      </c>
      <c r="AS42">
        <v>0</v>
      </c>
    </row>
    <row r="43" spans="1:45" ht="21.95" customHeight="1" x14ac:dyDescent="0.15">
      <c r="A43" t="s">
        <v>237</v>
      </c>
      <c r="E43" s="1">
        <v>1</v>
      </c>
      <c r="S43">
        <f>INDEX(PT_DIFFERENTIATION_NUM_NTAR,MATCH(A43,PT_DIFFERENTIATION_NTAR_ID,0))</f>
        <v>0</v>
      </c>
      <c r="T43" t="s">
        <v>179</v>
      </c>
      <c r="V43" s="1"/>
      <c r="W43" s="1"/>
      <c r="X43" s="1"/>
      <c r="Y43" s="1"/>
      <c r="Z43" s="1"/>
      <c r="AA43" s="1"/>
      <c r="AB43" s="1"/>
      <c r="AC43" s="1"/>
      <c r="AD43" s="1" t="str">
        <f>INDEX(PT_DIFFERENTIATION_NTAR,MATCH(A43,PT_DIFFERENTIATION_NTAR_ID,0))</f>
        <v/>
      </c>
      <c r="AE43" s="1"/>
      <c r="AF43" s="1"/>
      <c r="AG43" s="1"/>
      <c r="AH43" s="1"/>
      <c r="AI43" s="1"/>
      <c r="AJ43" s="1"/>
      <c r="AK43" s="1"/>
      <c r="AL43" s="1"/>
      <c r="AM4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P43" t="str">
        <f t="shared" ref="AP43:AP57" si="1">IF(T43="","",T43)</f>
        <v>Наименование тарифа</v>
      </c>
      <c r="AS43">
        <v>21</v>
      </c>
    </row>
    <row r="44" spans="1:45" ht="21.95" customHeight="1" x14ac:dyDescent="0.15">
      <c r="A44" t="s">
        <v>237</v>
      </c>
      <c r="B44" t="s">
        <v>238</v>
      </c>
      <c r="E44" s="1"/>
      <c r="F44" s="1">
        <v>1</v>
      </c>
      <c r="S44" t="str">
        <f>INDEX(PT_DIFFERENTIATION_NUM_TER,MATCH(B44,PT_DIFFERENTIATION_TER_ID,0))</f>
        <v>.</v>
      </c>
      <c r="T44" t="s">
        <v>515</v>
      </c>
      <c r="V44" s="1"/>
      <c r="W44" s="1"/>
      <c r="X44" s="1"/>
      <c r="Y44" s="1"/>
      <c r="Z44" s="1"/>
      <c r="AA44" s="1"/>
      <c r="AB44" s="1"/>
      <c r="AC44" s="1"/>
      <c r="AD44" s="1" t="str">
        <f>INDEX(PT_DIFFERENTIATION_TER,MATCH(B44,PT_DIFFERENTIATION_TER_ID,0))</f>
        <v/>
      </c>
      <c r="AE44" s="1"/>
      <c r="AF44" s="1"/>
      <c r="AG44" s="1"/>
      <c r="AH44" s="1"/>
      <c r="AI44" s="1"/>
      <c r="AJ44" s="1"/>
      <c r="AK44" s="1"/>
      <c r="AL44" s="1"/>
      <c r="AM44" t="s">
        <v>516</v>
      </c>
      <c r="AP44" t="str">
        <f t="shared" si="1"/>
        <v>Территория действия тарифа</v>
      </c>
      <c r="AS44">
        <v>21</v>
      </c>
    </row>
    <row r="45" spans="1:45" ht="24" customHeight="1" x14ac:dyDescent="0.15">
      <c r="A45" t="s">
        <v>237</v>
      </c>
      <c r="B45" t="s">
        <v>238</v>
      </c>
      <c r="C45" t="s">
        <v>239</v>
      </c>
      <c r="E45" s="1"/>
      <c r="F45" s="1"/>
      <c r="G45" s="1">
        <v>1</v>
      </c>
      <c r="S45" t="str">
        <f>INDEX(PT_DIFFERENTIATION_NUM_CS,MATCH(C45,PT_DIFFERENTIATION_CS_ID,0))</f>
        <v>..</v>
      </c>
      <c r="T45" t="s">
        <v>517</v>
      </c>
      <c r="V45" s="1"/>
      <c r="W45" s="1"/>
      <c r="X45" s="1"/>
      <c r="Y45" s="1"/>
      <c r="Z45" s="1"/>
      <c r="AA45" s="1"/>
      <c r="AB45" s="1"/>
      <c r="AC45" s="1"/>
      <c r="AD45" s="1" t="str">
        <f>INDEX(PT_DIFFERENTIATION_CS,MATCH(C45,PT_DIFFERENTIATION_CS_ID,0))</f>
        <v/>
      </c>
      <c r="AE45" s="1"/>
      <c r="AF45" s="1"/>
      <c r="AG45" s="1"/>
      <c r="AH45" s="1"/>
      <c r="AI45" s="1"/>
      <c r="AJ45" s="1"/>
      <c r="AK45" s="1"/>
      <c r="AL45" s="1"/>
      <c r="AM45" t="s">
        <v>518</v>
      </c>
      <c r="AP45" t="str">
        <f t="shared" si="1"/>
        <v xml:space="preserve">Наименование системы теплоснабжения </v>
      </c>
      <c r="AS45">
        <v>23</v>
      </c>
    </row>
    <row r="46" spans="1:45" ht="21.95" customHeight="1" x14ac:dyDescent="0.15">
      <c r="A46" t="s">
        <v>237</v>
      </c>
      <c r="B46" t="s">
        <v>238</v>
      </c>
      <c r="C46" t="s">
        <v>239</v>
      </c>
      <c r="D46" t="s">
        <v>240</v>
      </c>
      <c r="E46" s="1"/>
      <c r="F46" s="1"/>
      <c r="G46" s="1"/>
      <c r="H46" s="1">
        <v>1</v>
      </c>
      <c r="S46" t="str">
        <f>INDEX(PT_DIFFERENTIATION_NUM_IST_TE,MATCH(D46,PT_DIFFERENTIATION_IST_TE_ID,0))</f>
        <v>...</v>
      </c>
      <c r="T46" t="s">
        <v>519</v>
      </c>
      <c r="V46" s="1"/>
      <c r="W46" s="1"/>
      <c r="X46" s="1"/>
      <c r="Y46" s="1"/>
      <c r="Z46" s="1"/>
      <c r="AA46" s="1"/>
      <c r="AB46" s="1"/>
      <c r="AC46" s="1"/>
      <c r="AD46" s="1" t="str">
        <f>INDEX(PT_DIFFERENTIATION_IST_TE,MATCH(D46,PT_DIFFERENTIATION_IST_TE_ID,0))</f>
        <v/>
      </c>
      <c r="AE46" s="1"/>
      <c r="AF46" s="1"/>
      <c r="AG46" s="1"/>
      <c r="AH46" s="1"/>
      <c r="AI46" s="1"/>
      <c r="AJ46" s="1"/>
      <c r="AK46" s="1"/>
      <c r="AL46" s="1"/>
      <c r="AM46" t="s">
        <v>520</v>
      </c>
      <c r="AP46" t="str">
        <f t="shared" si="1"/>
        <v xml:space="preserve">Источник тепловой энергии  </v>
      </c>
      <c r="AS46">
        <v>21</v>
      </c>
    </row>
    <row r="47" spans="1:45" ht="0" hidden="1" customHeight="1" x14ac:dyDescent="0.15">
      <c r="A47" t="s">
        <v>237</v>
      </c>
      <c r="B47" t="s">
        <v>238</v>
      </c>
      <c r="C47" t="s">
        <v>239</v>
      </c>
      <c r="D47" t="s">
        <v>240</v>
      </c>
      <c r="E47" s="1"/>
      <c r="F47" s="1"/>
      <c r="G47" s="1"/>
      <c r="H47" s="1"/>
      <c r="I47" s="1" t="str">
        <f>S46&amp;".1"</f>
        <v>....1</v>
      </c>
      <c r="L47" t="s">
        <v>521</v>
      </c>
      <c r="P47" s="1">
        <v>1</v>
      </c>
      <c r="V47" s="1"/>
      <c r="W47" s="1"/>
      <c r="X47" s="1"/>
      <c r="Y47" s="1"/>
      <c r="Z47" s="1"/>
      <c r="AA47" s="1"/>
      <c r="AB47" s="1"/>
      <c r="AC47" s="1"/>
      <c r="AD47" s="1"/>
      <c r="AE47" s="1"/>
      <c r="AF47" s="1"/>
      <c r="AG47" s="1"/>
      <c r="AH47" s="1"/>
      <c r="AI47" s="1"/>
      <c r="AJ47" s="1"/>
      <c r="AK47" s="1"/>
      <c r="AL47" s="1"/>
      <c r="AP47" t="str">
        <f t="shared" si="1"/>
        <v/>
      </c>
      <c r="AS47">
        <v>0</v>
      </c>
    </row>
    <row r="48" spans="1:45" ht="21.95" customHeight="1" x14ac:dyDescent="0.15">
      <c r="A48" t="s">
        <v>237</v>
      </c>
      <c r="B48" t="s">
        <v>238</v>
      </c>
      <c r="C48" t="s">
        <v>239</v>
      </c>
      <c r="D48" t="s">
        <v>240</v>
      </c>
      <c r="E48" s="1"/>
      <c r="F48" s="1"/>
      <c r="G48" s="1"/>
      <c r="H48" s="1"/>
      <c r="I48" s="1"/>
      <c r="J48" s="1" t="str">
        <f>S46&amp;".1"</f>
        <v>....1</v>
      </c>
      <c r="L48" t="s">
        <v>524</v>
      </c>
      <c r="P48" s="1"/>
      <c r="Q48" s="1">
        <v>1</v>
      </c>
      <c r="S48" t="str">
        <f>$J48</f>
        <v>....1</v>
      </c>
      <c r="T48" t="s">
        <v>525</v>
      </c>
      <c r="V48" s="1"/>
      <c r="W48" s="1"/>
      <c r="X48" s="1"/>
      <c r="Y48" s="1"/>
      <c r="Z48" s="1"/>
      <c r="AA48" s="1"/>
      <c r="AB48" s="1"/>
      <c r="AC48" s="1"/>
      <c r="AD48" s="1"/>
      <c r="AE48" s="1"/>
      <c r="AF48" s="1"/>
      <c r="AG48" s="1"/>
      <c r="AH48" s="1"/>
      <c r="AI48" s="1"/>
      <c r="AJ48" s="1"/>
      <c r="AK48" s="1"/>
      <c r="AL48" s="1"/>
      <c r="AM48" t="s">
        <v>526</v>
      </c>
      <c r="AP48" t="str">
        <f t="shared" si="1"/>
        <v>Группа потребителей</v>
      </c>
      <c r="AS48">
        <v>21</v>
      </c>
    </row>
    <row r="49" spans="1:45" ht="21.95" customHeight="1" x14ac:dyDescent="0.15">
      <c r="A49" t="s">
        <v>237</v>
      </c>
      <c r="B49" t="s">
        <v>238</v>
      </c>
      <c r="C49" t="s">
        <v>239</v>
      </c>
      <c r="D49" t="s">
        <v>240</v>
      </c>
      <c r="E49" s="1"/>
      <c r="F49" s="1"/>
      <c r="G49" s="1"/>
      <c r="H49" s="1"/>
      <c r="I49" s="1"/>
      <c r="J49" s="1"/>
      <c r="K49" s="1" t="str">
        <f>J48&amp;".1"</f>
        <v>....1.1</v>
      </c>
      <c r="L49" t="s">
        <v>527</v>
      </c>
      <c r="P49" s="1"/>
      <c r="Q49" s="1"/>
      <c r="R49">
        <v>1</v>
      </c>
      <c r="S49" t="str">
        <f>$K49</f>
        <v>....1.1</v>
      </c>
      <c r="Z49" s="1"/>
      <c r="AA49" s="1" t="s">
        <v>63</v>
      </c>
      <c r="AB49" s="1"/>
      <c r="AC49" s="1" t="s">
        <v>63</v>
      </c>
      <c r="AH49" s="1"/>
      <c r="AI49" s="1" t="s">
        <v>63</v>
      </c>
      <c r="AJ49" s="1"/>
      <c r="AK49" s="1" t="s">
        <v>63</v>
      </c>
      <c r="AM49" s="1" t="s">
        <v>566</v>
      </c>
      <c r="AN49" t="e">
        <f ca="1">STRCHECKDATE(V50:AL50)</f>
        <v>#NAME?</v>
      </c>
      <c r="AP49" t="str">
        <f t="shared" si="1"/>
        <v/>
      </c>
      <c r="AS49">
        <v>21</v>
      </c>
    </row>
    <row r="50" spans="1:45" ht="0" hidden="1" customHeight="1" x14ac:dyDescent="0.15">
      <c r="A50" t="s">
        <v>237</v>
      </c>
      <c r="B50" t="s">
        <v>238</v>
      </c>
      <c r="C50" t="s">
        <v>239</v>
      </c>
      <c r="D50" t="s">
        <v>240</v>
      </c>
      <c r="E50" s="1"/>
      <c r="F50" s="1"/>
      <c r="G50" s="1"/>
      <c r="H50" s="1"/>
      <c r="I50" s="1"/>
      <c r="J50" s="1"/>
      <c r="K50" s="1"/>
      <c r="P50" s="1"/>
      <c r="Q50" s="1"/>
      <c r="Y50" t="str">
        <f>Z49&amp;"-"&amp;AB49</f>
        <v>-</v>
      </c>
      <c r="Z50" s="1"/>
      <c r="AA50" s="1"/>
      <c r="AB50" s="1"/>
      <c r="AC50" s="1"/>
      <c r="AG50" t="str">
        <f>AH49&amp;"-"&amp;AJ49</f>
        <v>-</v>
      </c>
      <c r="AH50" s="1"/>
      <c r="AI50" s="1"/>
      <c r="AJ50" s="1"/>
      <c r="AK50" s="1"/>
      <c r="AM50" s="1"/>
      <c r="AP50" t="str">
        <f t="shared" si="1"/>
        <v/>
      </c>
      <c r="AS50">
        <v>0</v>
      </c>
    </row>
    <row r="51" spans="1:45" ht="11.45" customHeight="1" x14ac:dyDescent="0.15">
      <c r="A51" t="s">
        <v>237</v>
      </c>
      <c r="B51" t="s">
        <v>238</v>
      </c>
      <c r="C51" t="s">
        <v>239</v>
      </c>
      <c r="D51" t="s">
        <v>240</v>
      </c>
      <c r="E51" s="1"/>
      <c r="F51" s="1"/>
      <c r="G51" s="1"/>
      <c r="H51" s="1"/>
      <c r="I51" s="1"/>
      <c r="J51" s="1"/>
      <c r="P51" s="1"/>
      <c r="Q51" s="1"/>
      <c r="T51" t="s">
        <v>529</v>
      </c>
      <c r="AM51" s="1"/>
      <c r="AP51" t="str">
        <f t="shared" si="1"/>
        <v>Добавить вид теплоносителя (параметры теплоносителя)</v>
      </c>
      <c r="AS51">
        <v>11</v>
      </c>
    </row>
    <row r="52" spans="1:45" ht="11.45" customHeight="1" x14ac:dyDescent="0.15">
      <c r="A52" t="s">
        <v>237</v>
      </c>
      <c r="B52" t="s">
        <v>238</v>
      </c>
      <c r="C52" t="s">
        <v>239</v>
      </c>
      <c r="D52" t="s">
        <v>240</v>
      </c>
      <c r="E52" s="1"/>
      <c r="F52" s="1"/>
      <c r="G52" s="1"/>
      <c r="H52" s="1"/>
      <c r="I52" s="1"/>
      <c r="P52" s="1"/>
      <c r="T52" t="s">
        <v>530</v>
      </c>
      <c r="AP52" t="str">
        <f t="shared" si="1"/>
        <v>Добавить группу потребителей</v>
      </c>
      <c r="AS52">
        <v>11</v>
      </c>
    </row>
    <row r="53" spans="1:45" ht="0" hidden="1" customHeight="1" x14ac:dyDescent="0.15">
      <c r="A53" t="s">
        <v>237</v>
      </c>
      <c r="B53" t="s">
        <v>238</v>
      </c>
      <c r="C53" t="s">
        <v>239</v>
      </c>
      <c r="D53" t="s">
        <v>240</v>
      </c>
      <c r="E53" s="1"/>
      <c r="F53" s="1"/>
      <c r="G53" s="1"/>
      <c r="H53" s="1"/>
      <c r="AP53" t="str">
        <f t="shared" si="1"/>
        <v/>
      </c>
      <c r="AS53">
        <v>0</v>
      </c>
    </row>
    <row r="54" spans="1:45" ht="0" hidden="1" customHeight="1" x14ac:dyDescent="0.15">
      <c r="A54" t="s">
        <v>237</v>
      </c>
      <c r="B54" t="s">
        <v>238</v>
      </c>
      <c r="C54" t="s">
        <v>239</v>
      </c>
      <c r="E54" s="1"/>
      <c r="F54" s="1"/>
      <c r="G54" s="1"/>
      <c r="T54" t="s">
        <v>532</v>
      </c>
      <c r="AP54" t="str">
        <f t="shared" si="1"/>
        <v>Добавить источник для дифференциации</v>
      </c>
      <c r="AS54">
        <v>0</v>
      </c>
    </row>
    <row r="55" spans="1:45" ht="0" hidden="1" customHeight="1" x14ac:dyDescent="0.15">
      <c r="A55" t="s">
        <v>237</v>
      </c>
      <c r="B55" t="s">
        <v>238</v>
      </c>
      <c r="E55" s="1"/>
      <c r="F55" s="1"/>
      <c r="T55" t="s">
        <v>321</v>
      </c>
      <c r="AP55" t="str">
        <f t="shared" si="1"/>
        <v>Добавить централизованную систему для дифференциации</v>
      </c>
      <c r="AS55">
        <v>0</v>
      </c>
    </row>
    <row r="56" spans="1:45" ht="0" hidden="1" customHeight="1" x14ac:dyDescent="0.15">
      <c r="A56" t="s">
        <v>237</v>
      </c>
      <c r="E56" s="1"/>
      <c r="T56" t="s">
        <v>385</v>
      </c>
      <c r="AP56" t="str">
        <f t="shared" si="1"/>
        <v>Добавить территорию для дифференциации</v>
      </c>
      <c r="AS56">
        <v>0</v>
      </c>
    </row>
    <row r="57" spans="1:45" ht="4.1500000000000004" customHeight="1" x14ac:dyDescent="0.15">
      <c r="T57" t="s">
        <v>386</v>
      </c>
      <c r="AP57" t="str">
        <f t="shared" si="1"/>
        <v>Добавить наименование тарифа</v>
      </c>
      <c r="AS57">
        <v>4</v>
      </c>
    </row>
    <row r="58" spans="1:45" ht="11.45" customHeight="1" x14ac:dyDescent="0.15">
      <c r="AS58">
        <v>11</v>
      </c>
    </row>
    <row r="59" spans="1:45" ht="14.65" customHeight="1" x14ac:dyDescent="0.15">
      <c r="T59" s="1"/>
      <c r="U59" s="1"/>
      <c r="V59" s="1"/>
      <c r="W59" s="1"/>
      <c r="X59" s="1"/>
      <c r="Y59" s="1"/>
      <c r="Z59" s="1"/>
      <c r="AA59" s="1"/>
      <c r="AB59" s="1"/>
      <c r="AC59" s="1"/>
      <c r="AD59" s="1"/>
      <c r="AE59" s="1"/>
      <c r="AF59" s="1"/>
      <c r="AG59" s="1"/>
      <c r="AH59" s="1"/>
      <c r="AI59" s="1"/>
      <c r="AJ59" s="1"/>
      <c r="AK59" s="1"/>
      <c r="AL59" s="1"/>
      <c r="AM59" s="1"/>
      <c r="AS59">
        <v>14</v>
      </c>
    </row>
    <row r="60" spans="1:45" ht="14.65" customHeight="1" x14ac:dyDescent="0.15">
      <c r="T60" s="1"/>
      <c r="U60" s="1"/>
      <c r="V60" s="1"/>
      <c r="W60" s="1"/>
      <c r="X60" s="1"/>
      <c r="Y60" s="1"/>
      <c r="Z60" s="1"/>
      <c r="AA60" s="1"/>
      <c r="AB60" s="1"/>
      <c r="AC60" s="1"/>
      <c r="AD60" s="1"/>
      <c r="AE60" s="1"/>
      <c r="AF60" s="1"/>
      <c r="AG60" s="1"/>
      <c r="AH60" s="1"/>
      <c r="AI60" s="1"/>
      <c r="AJ60" s="1"/>
      <c r="AK60" s="1"/>
      <c r="AL60" s="1"/>
      <c r="AM60" s="1"/>
      <c r="AS60">
        <v>14</v>
      </c>
    </row>
    <row r="61" spans="1:45" ht="14.65" customHeight="1" x14ac:dyDescent="0.15">
      <c r="T61" s="1"/>
      <c r="U61" s="1"/>
      <c r="V61" s="1"/>
      <c r="W61" s="1"/>
      <c r="X61" s="1"/>
      <c r="Y61" s="1"/>
      <c r="Z61" s="1"/>
      <c r="AA61" s="1"/>
      <c r="AB61" s="1"/>
      <c r="AC61" s="1"/>
      <c r="AD61" s="1"/>
      <c r="AE61" s="1"/>
      <c r="AF61" s="1"/>
      <c r="AG61" s="1"/>
      <c r="AH61" s="1"/>
      <c r="AI61" s="1"/>
      <c r="AJ61" s="1"/>
      <c r="AK61" s="1"/>
      <c r="AL61" s="1"/>
      <c r="AM61" s="1"/>
      <c r="AS61">
        <v>14</v>
      </c>
    </row>
    <row r="62" spans="1:45" ht="14.65" customHeight="1" x14ac:dyDescent="0.15">
      <c r="AS62">
        <v>14</v>
      </c>
    </row>
    <row r="63" spans="1:45" ht="14.65" customHeight="1" x14ac:dyDescent="0.15">
      <c r="T63" s="1"/>
      <c r="U63" s="1"/>
      <c r="V63" s="1"/>
      <c r="W63" s="1"/>
      <c r="X63" s="1"/>
      <c r="Y63" s="1"/>
      <c r="Z63" s="1"/>
      <c r="AA63" s="1"/>
      <c r="AB63" s="1"/>
      <c r="AC63" s="1"/>
      <c r="AD63" s="1"/>
      <c r="AE63" s="1"/>
      <c r="AF63" s="1"/>
      <c r="AG63" s="1"/>
      <c r="AH63" s="1"/>
      <c r="AI63" s="1"/>
      <c r="AJ63" s="1"/>
      <c r="AK63" s="1"/>
      <c r="AL63" s="1"/>
      <c r="AM63" s="1"/>
      <c r="AS63">
        <v>14</v>
      </c>
    </row>
    <row r="64" spans="1:45" ht="14.65" customHeight="1" x14ac:dyDescent="0.15">
      <c r="T64" s="1"/>
      <c r="U64" s="1"/>
      <c r="V64" s="1"/>
      <c r="W64" s="1"/>
      <c r="X64" s="1"/>
      <c r="Y64" s="1"/>
      <c r="Z64" s="1"/>
      <c r="AA64" s="1"/>
      <c r="AB64" s="1"/>
      <c r="AC64" s="1"/>
      <c r="AD64" s="1"/>
      <c r="AE64" s="1"/>
      <c r="AF64" s="1"/>
      <c r="AG64" s="1"/>
      <c r="AH64" s="1"/>
      <c r="AI64" s="1"/>
      <c r="AJ64" s="1"/>
      <c r="AK64" s="1"/>
      <c r="AL64" s="1"/>
      <c r="AM64" s="1"/>
      <c r="AS64">
        <v>14</v>
      </c>
    </row>
    <row r="65" spans="1:45" ht="14.65" customHeight="1" x14ac:dyDescent="0.15">
      <c r="T65" s="1"/>
      <c r="U65" s="1"/>
      <c r="V65" s="1"/>
      <c r="W65" s="1"/>
      <c r="X65" s="1"/>
      <c r="Y65" s="1"/>
      <c r="Z65" s="1"/>
      <c r="AA65" s="1"/>
      <c r="AB65" s="1"/>
      <c r="AC65" s="1"/>
      <c r="AD65" s="1"/>
      <c r="AE65" s="1"/>
      <c r="AF65" s="1"/>
      <c r="AG65" s="1"/>
      <c r="AH65" s="1"/>
      <c r="AI65" s="1"/>
      <c r="AJ65" s="1"/>
      <c r="AK65" s="1"/>
      <c r="AL65" s="1"/>
      <c r="AM65" s="1"/>
      <c r="AS65">
        <v>14</v>
      </c>
    </row>
    <row r="66" spans="1:45" ht="22.5" hidden="1" customHeight="1" x14ac:dyDescent="0.15">
      <c r="A66" t="s">
        <v>84</v>
      </c>
      <c r="B66">
        <v>0</v>
      </c>
      <c r="C66">
        <v>0</v>
      </c>
      <c r="D66">
        <v>0</v>
      </c>
      <c r="E66">
        <v>0</v>
      </c>
      <c r="F66">
        <v>0</v>
      </c>
      <c r="G66">
        <v>0</v>
      </c>
      <c r="H66">
        <v>0</v>
      </c>
      <c r="I66">
        <v>0</v>
      </c>
      <c r="J66">
        <v>0</v>
      </c>
      <c r="K66">
        <v>0</v>
      </c>
      <c r="L66">
        <v>0</v>
      </c>
      <c r="M66">
        <v>0</v>
      </c>
      <c r="N66">
        <v>0</v>
      </c>
      <c r="O66">
        <v>0</v>
      </c>
      <c r="P66">
        <v>0</v>
      </c>
      <c r="Q66">
        <v>3</v>
      </c>
      <c r="R66">
        <v>3</v>
      </c>
      <c r="S66">
        <v>12</v>
      </c>
      <c r="T66">
        <v>31</v>
      </c>
      <c r="U66">
        <v>0</v>
      </c>
      <c r="V66">
        <v>0</v>
      </c>
      <c r="W66">
        <v>0</v>
      </c>
      <c r="X66">
        <v>0</v>
      </c>
      <c r="Y66">
        <v>0</v>
      </c>
      <c r="Z66">
        <v>0</v>
      </c>
      <c r="AA66">
        <v>0</v>
      </c>
      <c r="AB66">
        <v>0</v>
      </c>
      <c r="AC66">
        <v>0</v>
      </c>
      <c r="AD66">
        <v>24</v>
      </c>
      <c r="AE66">
        <v>0</v>
      </c>
      <c r="AF66">
        <v>24</v>
      </c>
      <c r="AG66">
        <v>24</v>
      </c>
      <c r="AH66">
        <v>11</v>
      </c>
      <c r="AI66">
        <v>3</v>
      </c>
      <c r="AJ66">
        <v>11</v>
      </c>
      <c r="AK66">
        <v>0</v>
      </c>
      <c r="AL66">
        <v>4</v>
      </c>
      <c r="AM66">
        <v>115</v>
      </c>
      <c r="AN66">
        <v>10</v>
      </c>
      <c r="AO66">
        <v>10</v>
      </c>
      <c r="AP66">
        <v>10</v>
      </c>
      <c r="AQ66">
        <v>10</v>
      </c>
      <c r="AR66">
        <v>10</v>
      </c>
      <c r="AS66">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2" width="11.42578125" hidden="1" customWidth="1"/>
    <col min="13" max="13" width="19.140625" hidden="1" customWidth="1"/>
    <col min="14" max="15" width="12.28515625" hidden="1" customWidth="1"/>
    <col min="16" max="16" width="23.42578125" hidden="1" customWidth="1"/>
    <col min="17" max="17" width="3.7109375" hidden="1" customWidth="1"/>
    <col min="18" max="20" width="3" customWidth="1"/>
    <col min="21" max="21" width="12" customWidth="1"/>
    <col min="22" max="22" width="31"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03125" hidden="1" customWidth="1"/>
    <col min="33" max="33" width="21.7109375" customWidth="1"/>
    <col min="34" max="37" width="21" customWidth="1"/>
    <col min="38" max="38" width="11" customWidth="1"/>
    <col min="39" max="39" width="3.7109375" customWidth="1"/>
    <col min="40" max="40" width="11" customWidth="1"/>
    <col min="41" max="41" width="8.5703125" hidden="1" customWidth="1"/>
    <col min="42" max="42" width="4" customWidth="1"/>
    <col min="43" max="43" width="115" customWidth="1"/>
    <col min="44" max="48" width="10" customWidth="1"/>
    <col min="49" max="49" width="10.5703125" hidden="1"/>
  </cols>
  <sheetData>
    <row r="1" spans="5:49" ht="22.5" hidden="1" customHeight="1" x14ac:dyDescent="0.15">
      <c r="AW1" t="s">
        <v>14</v>
      </c>
    </row>
    <row r="2" spans="5:49" ht="21" hidden="1" customHeight="1" x14ac:dyDescent="0.15">
      <c r="E2" s="1">
        <v>1</v>
      </c>
      <c r="U2" t="e">
        <f>INDEX(PT_DIFFERENTIATION_NUM_NTAR,MATCH(A2,PT_DIFFERENTIATION_NTAR_ID,0))</f>
        <v>#N/A</v>
      </c>
      <c r="V2" t="s">
        <v>179</v>
      </c>
      <c r="X2" s="1"/>
      <c r="Y2" s="1"/>
      <c r="Z2" s="1"/>
      <c r="AA2" s="1"/>
      <c r="AB2" s="1"/>
      <c r="AC2" s="1"/>
      <c r="AD2" s="1"/>
      <c r="AE2" s="1"/>
      <c r="AF2" s="1"/>
      <c r="AG2" s="1" t="e">
        <f>INDEX(PT_DIFFERENTIATION_NTAR,MATCH(A2,PT_DIFFERENTIATION_NTAR_ID,0))</f>
        <v>#N/A</v>
      </c>
      <c r="AH2" s="1"/>
      <c r="AI2" s="1"/>
      <c r="AJ2" s="1"/>
      <c r="AK2" s="1"/>
      <c r="AL2" s="1"/>
      <c r="AM2" s="1"/>
      <c r="AN2" s="1"/>
      <c r="AO2" s="1"/>
      <c r="AP2" s="1"/>
      <c r="AQ2" t="s">
        <v>514</v>
      </c>
      <c r="AT2" t="str">
        <f t="shared" ref="AT2:AT8" si="0">IF(V2="","",V2)</f>
        <v>Наименование тарифа</v>
      </c>
      <c r="AW2">
        <v>0</v>
      </c>
    </row>
    <row r="3" spans="5:49" ht="21" hidden="1" customHeight="1" x14ac:dyDescent="0.15">
      <c r="E3" s="1"/>
      <c r="F3" s="1">
        <v>1</v>
      </c>
      <c r="U3" t="e">
        <f>INDEX(PT_DIFFERENTIATION_NUM_TER,MATCH(B3,PT_DIFFERENTIATION_TER_ID,0))</f>
        <v>#N/A</v>
      </c>
      <c r="V3" t="s">
        <v>515</v>
      </c>
      <c r="X3" s="1"/>
      <c r="Y3" s="1"/>
      <c r="Z3" s="1"/>
      <c r="AA3" s="1"/>
      <c r="AB3" s="1"/>
      <c r="AC3" s="1"/>
      <c r="AD3" s="1"/>
      <c r="AE3" s="1"/>
      <c r="AF3" s="1"/>
      <c r="AG3" s="1" t="e">
        <f>INDEX(PT_DIFFERENTIATION_TER,MATCH(B3,PT_DIFFERENTIATION_TER_ID,0))</f>
        <v>#N/A</v>
      </c>
      <c r="AH3" s="1"/>
      <c r="AI3" s="1"/>
      <c r="AJ3" s="1"/>
      <c r="AK3" s="1"/>
      <c r="AL3" s="1"/>
      <c r="AM3" s="1"/>
      <c r="AN3" s="1"/>
      <c r="AO3" s="1"/>
      <c r="AP3" s="1"/>
      <c r="AQ3" t="s">
        <v>516</v>
      </c>
      <c r="AT3" t="str">
        <f t="shared" si="0"/>
        <v>Территория действия тарифа</v>
      </c>
      <c r="AW3">
        <v>0</v>
      </c>
    </row>
    <row r="4" spans="5:49" ht="22.5" hidden="1" customHeight="1" x14ac:dyDescent="0.15">
      <c r="E4" s="1"/>
      <c r="F4" s="1"/>
      <c r="G4" s="1">
        <v>1</v>
      </c>
      <c r="U4" t="e">
        <f>INDEX(PT_DIFFERENTIATION_NUM_CS,MATCH(C4,PT_DIFFERENTIATION_CS_ID,0))</f>
        <v>#N/A</v>
      </c>
      <c r="V4" t="s">
        <v>517</v>
      </c>
      <c r="X4" s="1"/>
      <c r="Y4" s="1"/>
      <c r="Z4" s="1"/>
      <c r="AA4" s="1"/>
      <c r="AB4" s="1"/>
      <c r="AC4" s="1"/>
      <c r="AD4" s="1"/>
      <c r="AE4" s="1"/>
      <c r="AF4" s="1"/>
      <c r="AG4" s="1" t="e">
        <f>INDEX(PT_DIFFERENTIATION_CS,MATCH(C4,PT_DIFFERENTIATION_CS_ID,0))</f>
        <v>#N/A</v>
      </c>
      <c r="AH4" s="1"/>
      <c r="AI4" s="1"/>
      <c r="AJ4" s="1"/>
      <c r="AK4" s="1"/>
      <c r="AL4" s="1"/>
      <c r="AM4" s="1"/>
      <c r="AN4" s="1"/>
      <c r="AO4" s="1"/>
      <c r="AP4" s="1"/>
      <c r="AQ4" t="s">
        <v>518</v>
      </c>
      <c r="AT4" t="str">
        <f t="shared" si="0"/>
        <v xml:space="preserve">Наименование системы теплоснабжения </v>
      </c>
      <c r="AW4">
        <v>0</v>
      </c>
    </row>
    <row r="5" spans="5:49" ht="21" hidden="1" customHeight="1" x14ac:dyDescent="0.15">
      <c r="E5" s="1"/>
      <c r="F5" s="1"/>
      <c r="G5" s="1"/>
      <c r="H5" s="1">
        <v>1</v>
      </c>
      <c r="U5" t="e">
        <f>INDEX(PT_DIFFERENTIATION_NUM_IST_TE,MATCH(D5,PT_DIFFERENTIATION_IST_TE_ID,0))</f>
        <v>#N/A</v>
      </c>
      <c r="V5" t="s">
        <v>519</v>
      </c>
      <c r="X5" s="1"/>
      <c r="Y5" s="1"/>
      <c r="Z5" s="1"/>
      <c r="AA5" s="1"/>
      <c r="AB5" s="1"/>
      <c r="AC5" s="1"/>
      <c r="AD5" s="1"/>
      <c r="AE5" s="1"/>
      <c r="AF5" s="1"/>
      <c r="AG5" s="1" t="e">
        <f>INDEX(PT_DIFFERENTIATION_IST_TE,MATCH(D5,PT_DIFFERENTIATION_IST_TE_ID,0))</f>
        <v>#N/A</v>
      </c>
      <c r="AH5" s="1"/>
      <c r="AI5" s="1"/>
      <c r="AJ5" s="1"/>
      <c r="AK5" s="1"/>
      <c r="AL5" s="1"/>
      <c r="AM5" s="1"/>
      <c r="AN5" s="1"/>
      <c r="AO5" s="1"/>
      <c r="AP5" s="1"/>
      <c r="AQ5" t="s">
        <v>520</v>
      </c>
      <c r="AT5" t="str">
        <f t="shared" si="0"/>
        <v xml:space="preserve">Источник тепловой энергии  </v>
      </c>
      <c r="AW5">
        <v>0</v>
      </c>
    </row>
    <row r="6" spans="5:49" ht="14.25" hidden="1" customHeight="1" x14ac:dyDescent="0.15">
      <c r="E6" s="1"/>
      <c r="F6" s="1"/>
      <c r="G6" s="1"/>
      <c r="H6" s="1"/>
      <c r="I6" s="1" t="e">
        <f>U5&amp;".1"</f>
        <v>#N/A</v>
      </c>
      <c r="M6" t="s">
        <v>521</v>
      </c>
      <c r="Q6" s="1">
        <v>1</v>
      </c>
      <c r="X6" s="1"/>
      <c r="Y6" s="1"/>
      <c r="Z6" s="1"/>
      <c r="AA6" s="1"/>
      <c r="AB6" s="1"/>
      <c r="AC6" s="1"/>
      <c r="AD6" s="1"/>
      <c r="AE6" s="1"/>
      <c r="AF6" s="1"/>
      <c r="AG6" s="1"/>
      <c r="AH6" s="1"/>
      <c r="AI6" s="1"/>
      <c r="AJ6" s="1"/>
      <c r="AK6" s="1"/>
      <c r="AL6" s="1"/>
      <c r="AM6" s="1"/>
      <c r="AN6" s="1"/>
      <c r="AO6" s="1"/>
      <c r="AP6" s="1"/>
      <c r="AT6" t="str">
        <f t="shared" si="0"/>
        <v/>
      </c>
      <c r="AW6">
        <v>0</v>
      </c>
    </row>
    <row r="7" spans="5:49" ht="21" hidden="1" customHeight="1" x14ac:dyDescent="0.15">
      <c r="E7" s="1"/>
      <c r="F7" s="1"/>
      <c r="G7" s="1"/>
      <c r="H7" s="1"/>
      <c r="I7" s="1"/>
      <c r="J7" s="1" t="e">
        <f>I6&amp;".1"</f>
        <v>#N/A</v>
      </c>
      <c r="M7" t="s">
        <v>524</v>
      </c>
      <c r="Q7" s="1"/>
      <c r="R7" s="1">
        <v>1</v>
      </c>
      <c r="U7" t="e">
        <f>$J7</f>
        <v>#N/A</v>
      </c>
      <c r="V7" t="s">
        <v>525</v>
      </c>
      <c r="X7" s="1"/>
      <c r="Y7" s="1"/>
      <c r="Z7" s="1"/>
      <c r="AA7" s="1"/>
      <c r="AB7" s="1"/>
      <c r="AC7" s="1"/>
      <c r="AD7" s="1"/>
      <c r="AE7" s="1"/>
      <c r="AF7" s="1"/>
      <c r="AG7" s="1"/>
      <c r="AH7" s="1"/>
      <c r="AI7" s="1"/>
      <c r="AJ7" s="1"/>
      <c r="AK7" s="1"/>
      <c r="AL7" s="1"/>
      <c r="AM7" s="1"/>
      <c r="AN7" s="1"/>
      <c r="AO7" s="1"/>
      <c r="AP7" s="1"/>
      <c r="AQ7" t="s">
        <v>526</v>
      </c>
      <c r="AT7" t="str">
        <f t="shared" si="0"/>
        <v>Группа потребителей</v>
      </c>
      <c r="AW7">
        <v>0</v>
      </c>
    </row>
    <row r="8" spans="5:49" ht="21" hidden="1" customHeight="1" x14ac:dyDescent="0.15">
      <c r="E8" s="1"/>
      <c r="F8" s="1"/>
      <c r="G8" s="1"/>
      <c r="H8" s="1"/>
      <c r="I8" s="1"/>
      <c r="J8" s="1"/>
      <c r="K8" s="1" t="e">
        <f>J7&amp;".1"</f>
        <v>#N/A</v>
      </c>
      <c r="M8" t="s">
        <v>527</v>
      </c>
      <c r="Q8" s="1"/>
      <c r="R8" s="1"/>
      <c r="S8" s="1">
        <v>1</v>
      </c>
      <c r="U8" t="e">
        <f>$K8</f>
        <v>#N/A</v>
      </c>
      <c r="AC8" s="1"/>
      <c r="AD8" s="1" t="s">
        <v>63</v>
      </c>
      <c r="AE8" s="1"/>
      <c r="AF8" s="1" t="s">
        <v>63</v>
      </c>
      <c r="AL8" s="1"/>
      <c r="AM8" s="1" t="s">
        <v>63</v>
      </c>
      <c r="AN8" s="1"/>
      <c r="AO8" s="1" t="s">
        <v>63</v>
      </c>
      <c r="AQ8" t="s">
        <v>567</v>
      </c>
      <c r="AR8" t="e">
        <f ca="1">STRCHECKDATE(X10:AP10)</f>
        <v>#NAME?</v>
      </c>
      <c r="AT8" t="str">
        <f t="shared" si="0"/>
        <v/>
      </c>
      <c r="AW8">
        <v>0</v>
      </c>
    </row>
    <row r="9" spans="5:49" ht="21" hidden="1" customHeight="1" x14ac:dyDescent="0.15">
      <c r="E9" s="1"/>
      <c r="F9" s="1"/>
      <c r="G9" s="1"/>
      <c r="H9" s="1"/>
      <c r="I9" s="1"/>
      <c r="J9" s="1"/>
      <c r="K9" s="1"/>
      <c r="L9" s="1" t="e">
        <f>K8&amp;".1"</f>
        <v>#N/A</v>
      </c>
      <c r="Q9" s="1"/>
      <c r="R9" s="1"/>
      <c r="S9" s="1"/>
      <c r="U9" t="e">
        <f>$L9</f>
        <v>#N/A</v>
      </c>
      <c r="AC9" s="1"/>
      <c r="AD9" s="1"/>
      <c r="AE9" s="1"/>
      <c r="AF9" s="1"/>
      <c r="AL9" s="1"/>
      <c r="AM9" s="1"/>
      <c r="AN9" s="1"/>
      <c r="AO9" s="1"/>
      <c r="AQ9" s="1" t="s">
        <v>568</v>
      </c>
      <c r="AW9">
        <v>0</v>
      </c>
    </row>
    <row r="10" spans="5:49" ht="14.25" hidden="1" customHeight="1" x14ac:dyDescent="0.15">
      <c r="E10" s="1"/>
      <c r="F10" s="1"/>
      <c r="G10" s="1"/>
      <c r="H10" s="1"/>
      <c r="I10" s="1"/>
      <c r="J10" s="1"/>
      <c r="K10" s="1"/>
      <c r="L10" s="1"/>
      <c r="Q10" s="1"/>
      <c r="R10" s="1"/>
      <c r="S10" s="1"/>
      <c r="AB10" t="str">
        <f>AC8&amp;"-"&amp;AE8</f>
        <v>-</v>
      </c>
      <c r="AC10" s="1"/>
      <c r="AD10" s="1"/>
      <c r="AE10" s="1"/>
      <c r="AF10" s="1"/>
      <c r="AK10" t="str">
        <f>AL8&amp;"-"&amp;AN8</f>
        <v>-</v>
      </c>
      <c r="AL10" s="1"/>
      <c r="AM10" s="1"/>
      <c r="AN10" s="1"/>
      <c r="AO10" s="1"/>
      <c r="AQ10" s="1"/>
      <c r="AT10" t="str">
        <f>IF(V10="","",V10)</f>
        <v/>
      </c>
      <c r="AW10">
        <v>0</v>
      </c>
    </row>
    <row r="11" spans="5:49" ht="11.25" hidden="1" customHeight="1" x14ac:dyDescent="0.15">
      <c r="E11" s="1"/>
      <c r="F11" s="1"/>
      <c r="G11" s="1"/>
      <c r="H11" s="1"/>
      <c r="I11" s="1"/>
      <c r="J11" s="1"/>
      <c r="K11" s="1"/>
      <c r="Q11" s="1"/>
      <c r="R11" s="1"/>
      <c r="S11" s="1"/>
      <c r="V11" t="s">
        <v>569</v>
      </c>
      <c r="AC11" s="1"/>
      <c r="AD11" s="1"/>
      <c r="AE11" s="1"/>
      <c r="AF11" s="1"/>
      <c r="AL11" s="1"/>
      <c r="AM11" s="1"/>
      <c r="AN11" s="1"/>
      <c r="AO11" s="1"/>
      <c r="AQ11" s="1"/>
      <c r="AW11">
        <v>0</v>
      </c>
    </row>
    <row r="12" spans="5:49" ht="15" hidden="1" customHeight="1" x14ac:dyDescent="0.15">
      <c r="E12" s="1"/>
      <c r="F12" s="1"/>
      <c r="G12" s="1"/>
      <c r="H12" s="1"/>
      <c r="I12" s="1"/>
      <c r="J12" s="1"/>
      <c r="Q12" s="1"/>
      <c r="R12" s="1"/>
      <c r="V12" t="s">
        <v>529</v>
      </c>
      <c r="AQ12" s="1"/>
      <c r="AT12" t="str">
        <f t="shared" ref="AT12:AT17" si="1">IF(V12="","",V12)</f>
        <v>Добавить вид теплоносителя (параметры теплоносителя)</v>
      </c>
      <c r="AW12">
        <v>0</v>
      </c>
    </row>
    <row r="13" spans="5:49" ht="11.25" hidden="1" customHeight="1" x14ac:dyDescent="0.15">
      <c r="E13" s="1"/>
      <c r="F13" s="1"/>
      <c r="G13" s="1"/>
      <c r="H13" s="1"/>
      <c r="I13" s="1"/>
      <c r="Q13" s="1"/>
      <c r="V13" t="s">
        <v>530</v>
      </c>
      <c r="AT13" t="str">
        <f t="shared" si="1"/>
        <v>Добавить группу потребителей</v>
      </c>
      <c r="AW13">
        <v>0</v>
      </c>
    </row>
    <row r="14" spans="5:49" ht="14.25" hidden="1" customHeight="1" x14ac:dyDescent="0.15">
      <c r="E14" s="1"/>
      <c r="F14" s="1"/>
      <c r="G14" s="1"/>
      <c r="H14" s="1"/>
      <c r="AT14" t="str">
        <f t="shared" si="1"/>
        <v/>
      </c>
      <c r="AW14">
        <v>0</v>
      </c>
    </row>
    <row r="15" spans="5:49" ht="14.25" hidden="1" customHeight="1" x14ac:dyDescent="0.15">
      <c r="E15" s="1"/>
      <c r="F15" s="1"/>
      <c r="G15" s="1"/>
      <c r="V15" t="s">
        <v>532</v>
      </c>
      <c r="AT15" t="str">
        <f t="shared" si="1"/>
        <v>Добавить источник для дифференциации</v>
      </c>
      <c r="AW15">
        <v>0</v>
      </c>
    </row>
    <row r="16" spans="5:49" ht="14.25" hidden="1" customHeight="1" x14ac:dyDescent="0.15">
      <c r="E16" s="1"/>
      <c r="F16" s="1"/>
      <c r="V16" t="s">
        <v>321</v>
      </c>
      <c r="AT16" t="str">
        <f t="shared" si="1"/>
        <v>Добавить централизованную систему для дифференциации</v>
      </c>
      <c r="AW16">
        <v>0</v>
      </c>
    </row>
    <row r="17" spans="5:49" ht="14.25" hidden="1" customHeight="1" x14ac:dyDescent="0.15">
      <c r="E17" s="1"/>
      <c r="V17" t="s">
        <v>385</v>
      </c>
      <c r="AT17" t="str">
        <f t="shared" si="1"/>
        <v>Добавить территорию для дифференциации</v>
      </c>
      <c r="AW17">
        <v>0</v>
      </c>
    </row>
    <row r="18" spans="5:49" ht="14.25" hidden="1" customHeight="1" x14ac:dyDescent="0.15">
      <c r="AW18">
        <v>0</v>
      </c>
    </row>
    <row r="19" spans="5:49" ht="14.25" hidden="1" customHeight="1" x14ac:dyDescent="0.15">
      <c r="AL19" s="1"/>
      <c r="AM19" s="1" t="s">
        <v>63</v>
      </c>
      <c r="AN19" s="1"/>
      <c r="AO19" s="1" t="s">
        <v>63</v>
      </c>
      <c r="AW19">
        <v>0</v>
      </c>
    </row>
    <row r="20" spans="5:49" ht="14.25" hidden="1" customHeight="1" x14ac:dyDescent="0.15">
      <c r="AL20" s="1"/>
      <c r="AM20" s="1"/>
      <c r="AN20" s="1"/>
      <c r="AO20" s="1"/>
      <c r="AW20">
        <v>0</v>
      </c>
    </row>
    <row r="21" spans="5:49" ht="14.25" hidden="1" customHeight="1" x14ac:dyDescent="0.15">
      <c r="AL21" s="1"/>
      <c r="AM21" s="1"/>
      <c r="AN21" s="1"/>
      <c r="AO21" s="1"/>
      <c r="AW21">
        <v>0</v>
      </c>
    </row>
    <row r="22" spans="5:49" ht="14.25" hidden="1" customHeight="1" x14ac:dyDescent="0.15">
      <c r="AK22" t="str">
        <f>AL19&amp;"-"&amp;AN19</f>
        <v>-</v>
      </c>
      <c r="AL22" s="1"/>
      <c r="AM22" s="1"/>
      <c r="AN22" s="1"/>
      <c r="AO22" s="1"/>
      <c r="AW22">
        <v>0</v>
      </c>
    </row>
    <row r="23" spans="5:49" ht="14.25" hidden="1" customHeight="1" x14ac:dyDescent="0.15">
      <c r="AW23">
        <v>0</v>
      </c>
    </row>
    <row r="24" spans="5:49" ht="22.5" hidden="1" customHeight="1" x14ac:dyDescent="0.15">
      <c r="P24" t="s">
        <v>533</v>
      </c>
      <c r="AW24">
        <v>0</v>
      </c>
    </row>
    <row r="25" spans="5:49" ht="14.25" hidden="1" customHeight="1" x14ac:dyDescent="0.15">
      <c r="AW25">
        <v>0</v>
      </c>
    </row>
    <row r="26" spans="5:49" ht="14.25" hidden="1" customHeight="1" x14ac:dyDescent="0.15">
      <c r="P26" t="s">
        <v>534</v>
      </c>
      <c r="V26" t="s">
        <v>535</v>
      </c>
      <c r="AD26" t="s">
        <v>536</v>
      </c>
      <c r="AF26" t="s">
        <v>537</v>
      </c>
      <c r="AG26" t="s">
        <v>535</v>
      </c>
      <c r="AM26" t="s">
        <v>538</v>
      </c>
      <c r="AO26" t="s">
        <v>537</v>
      </c>
      <c r="AW26">
        <v>0</v>
      </c>
    </row>
    <row r="27" spans="5:49" ht="14.25" hidden="1" customHeight="1" x14ac:dyDescent="0.15">
      <c r="AW27">
        <v>0</v>
      </c>
    </row>
    <row r="28" spans="5:49" ht="14.25" hidden="1" customHeight="1" x14ac:dyDescent="0.15">
      <c r="AW28">
        <v>0</v>
      </c>
    </row>
    <row r="29" spans="5:49" ht="14.65" customHeight="1" x14ac:dyDescent="0.15">
      <c r="AW29">
        <v>14</v>
      </c>
    </row>
    <row r="30" spans="5:49" ht="56.65" customHeight="1" x14ac:dyDescent="0.15">
      <c r="U30" s="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
      <c r="W30" s="1"/>
      <c r="X30" s="1"/>
      <c r="Y30" s="1"/>
      <c r="Z30" s="1"/>
      <c r="AA30" s="1"/>
      <c r="AB30" s="1"/>
      <c r="AC30" s="1"/>
      <c r="AD30" s="1"/>
      <c r="AE30" s="1"/>
      <c r="AF30" s="1"/>
      <c r="AG30" s="1"/>
      <c r="AH30" s="1"/>
      <c r="AI30" s="1"/>
      <c r="AJ30" s="1"/>
      <c r="AK30" s="1"/>
      <c r="AL30" s="1"/>
      <c r="AM30" s="1"/>
      <c r="AN30" s="1"/>
      <c r="AW30">
        <v>54</v>
      </c>
    </row>
    <row r="31" spans="5:49" ht="14.65" customHeight="1" x14ac:dyDescent="0.15">
      <c r="U31" s="1" t="str">
        <f>IF(org=0,"Не определено",org)</f>
        <v>КГУП "Примтеплоэнерго"</v>
      </c>
      <c r="V31" s="1"/>
      <c r="W31" s="1"/>
      <c r="X31" s="1"/>
      <c r="Y31" s="1"/>
      <c r="Z31" s="1"/>
      <c r="AA31" s="1"/>
      <c r="AB31" s="1"/>
      <c r="AC31" s="1"/>
      <c r="AD31" s="1"/>
      <c r="AE31" s="1"/>
      <c r="AF31" s="1"/>
      <c r="AG31" s="1"/>
      <c r="AH31" s="1"/>
      <c r="AI31" s="1"/>
      <c r="AJ31" s="1"/>
      <c r="AK31" s="1"/>
      <c r="AL31" s="1"/>
      <c r="AM31" s="1"/>
      <c r="AN31" s="1"/>
      <c r="AW31">
        <v>14</v>
      </c>
    </row>
    <row r="32" spans="5:49" ht="14.25" customHeight="1" x14ac:dyDescent="0.15">
      <c r="AW32">
        <v>0</v>
      </c>
    </row>
    <row r="33" spans="2:49" ht="25.5" customHeight="1" x14ac:dyDescent="0.15">
      <c r="U33" s="1" t="s">
        <v>42</v>
      </c>
      <c r="V33" s="1"/>
      <c r="X33" s="1" t="str">
        <f>IF(TITLE_NAME_OR_PR_CHANGE="",IF(TITLE_NAME_OR_PR="","",TITLE_NAME_OR_PR),TITLE_NAME_OR_PR_CHANGE)</f>
        <v>Агентство по тарифам Приморского края</v>
      </c>
      <c r="Y33" s="1"/>
      <c r="Z33" s="1"/>
      <c r="AA33" s="1"/>
      <c r="AB33" s="1"/>
      <c r="AC33" s="1"/>
      <c r="AD33" s="1"/>
      <c r="AE33" s="1"/>
      <c r="AG33" s="1" t="str">
        <f>IF(TITLE_NAME_OR_PR_CHANGE="",IF(TITLE_NAME_OR_PR="","",TITLE_NAME_OR_PR),TITLE_NAME_OR_PR_CHANGE)</f>
        <v>Агентство по тарифам Приморского края</v>
      </c>
      <c r="AH33" s="1"/>
      <c r="AI33" s="1"/>
      <c r="AJ33" s="1"/>
      <c r="AK33" s="1"/>
      <c r="AL33" s="1"/>
      <c r="AM33" s="1"/>
      <c r="AN33" s="1"/>
      <c r="AW33">
        <v>0</v>
      </c>
    </row>
    <row r="34" spans="2:49" ht="18.75" customHeight="1" x14ac:dyDescent="0.15">
      <c r="U34" s="1" t="s">
        <v>539</v>
      </c>
      <c r="V34" s="1"/>
      <c r="X34" s="1">
        <f>IF(TITLE_DATE_PR_CHANGE="",IF(TITLE_DATE_PR="","",TITLE_DATE_PR),TITLE_DATE_PR_CHANGE)</f>
        <v>45653.495844907404</v>
      </c>
      <c r="Y34" s="1"/>
      <c r="Z34" s="1"/>
      <c r="AA34" s="1"/>
      <c r="AB34" s="1"/>
      <c r="AC34" s="1"/>
      <c r="AD34" s="1"/>
      <c r="AE34" s="1"/>
      <c r="AG34" s="1">
        <f>IF(TITLE_DATE_PR_CHANGE="",IF(TITLE_DATE_PR="","",TITLE_DATE_PR),TITLE_DATE_PR_CHANGE)</f>
        <v>45653.495844907404</v>
      </c>
      <c r="AH34" s="1"/>
      <c r="AI34" s="1"/>
      <c r="AJ34" s="1"/>
      <c r="AK34" s="1"/>
      <c r="AL34" s="1"/>
      <c r="AM34" s="1"/>
      <c r="AN34" s="1"/>
      <c r="AW34">
        <v>0</v>
      </c>
    </row>
    <row r="35" spans="2:49" ht="18.75" customHeight="1" x14ac:dyDescent="0.15">
      <c r="U35" s="1" t="s">
        <v>540</v>
      </c>
      <c r="V35" s="1"/>
      <c r="X35" s="1" t="str">
        <f>IF(TITLE_NUMBER_PR_CHANGE="",IF(TITLE_NUMBER_PR="","",TITLE_NUMBER_PR),TITLE_NUMBER_PR_CHANGE)</f>
        <v>63/2</v>
      </c>
      <c r="Y35" s="1"/>
      <c r="Z35" s="1"/>
      <c r="AA35" s="1"/>
      <c r="AB35" s="1"/>
      <c r="AC35" s="1"/>
      <c r="AD35" s="1"/>
      <c r="AE35" s="1"/>
      <c r="AG35" s="1" t="str">
        <f>IF(TITLE_NUMBER_PR_CHANGE="",IF(TITLE_NUMBER_PR="","",TITLE_NUMBER_PR),TITLE_NUMBER_PR_CHANGE)</f>
        <v>63/2</v>
      </c>
      <c r="AH35" s="1"/>
      <c r="AI35" s="1"/>
      <c r="AJ35" s="1"/>
      <c r="AK35" s="1"/>
      <c r="AL35" s="1"/>
      <c r="AM35" s="1"/>
      <c r="AN35" s="1"/>
      <c r="AW35">
        <v>0</v>
      </c>
    </row>
    <row r="36" spans="2:49" ht="18.75" customHeight="1" x14ac:dyDescent="0.15">
      <c r="U36" s="1" t="s">
        <v>44</v>
      </c>
      <c r="V36" s="1"/>
      <c r="X36" s="1" t="str">
        <f>IF(TITLE_IST_PUB_CHANGE="",IF(TITLE_IST_PUB="","",TITLE_IST_PUB),TITLE_IST_PUB_CHANGE)</f>
        <v>http://pravo.gov.ru</v>
      </c>
      <c r="Y36" s="1"/>
      <c r="Z36" s="1"/>
      <c r="AA36" s="1"/>
      <c r="AB36" s="1"/>
      <c r="AC36" s="1"/>
      <c r="AD36" s="1"/>
      <c r="AE36" s="1"/>
      <c r="AG36" s="1" t="str">
        <f>IF(TITLE_IST_PUB_CHANGE="",IF(TITLE_IST_PUB="","",TITLE_IST_PUB),TITLE_IST_PUB_CHANGE)</f>
        <v>http://pravo.gov.ru</v>
      </c>
      <c r="AH36" s="1"/>
      <c r="AI36" s="1"/>
      <c r="AJ36" s="1"/>
      <c r="AK36" s="1"/>
      <c r="AL36" s="1"/>
      <c r="AM36" s="1"/>
      <c r="AN36" s="1"/>
      <c r="AW36">
        <v>0</v>
      </c>
    </row>
    <row r="37" spans="2:49" ht="14.25" hidden="1" customHeight="1" x14ac:dyDescent="0.15">
      <c r="AW37">
        <v>0</v>
      </c>
    </row>
    <row r="38" spans="2:49" ht="18.75" hidden="1" customHeight="1" x14ac:dyDescent="0.15">
      <c r="U38" s="1" t="s">
        <v>541</v>
      </c>
      <c r="V38" s="1"/>
      <c r="X38" s="1">
        <f>IF(TITLE_DATE_PR_CHANGE="",IF(TITLE_DATE_PR="","",TITLE_DATE_PR),TITLE_DATE_PR_CHANGE)</f>
        <v>45653.495844907404</v>
      </c>
      <c r="Y38" s="1"/>
      <c r="Z38" s="1"/>
      <c r="AA38" s="1"/>
      <c r="AB38" s="1"/>
      <c r="AC38" s="1"/>
      <c r="AD38" s="1"/>
      <c r="AE38" s="1"/>
      <c r="AG38" s="1">
        <f>IF(TITLE_DATE_PR_CHANGE="",IF(TITLE_DATE_PR="","",TITLE_DATE_PR),TITLE_DATE_PR_CHANGE)</f>
        <v>45653.495844907404</v>
      </c>
      <c r="AH38" s="1"/>
      <c r="AI38" s="1"/>
      <c r="AJ38" s="1"/>
      <c r="AK38" s="1"/>
      <c r="AL38" s="1"/>
      <c r="AM38" s="1"/>
      <c r="AN38" s="1"/>
      <c r="AW38">
        <v>0</v>
      </c>
    </row>
    <row r="39" spans="2:49" ht="18.75" hidden="1" customHeight="1" x14ac:dyDescent="0.15">
      <c r="U39" s="1" t="s">
        <v>542</v>
      </c>
      <c r="V39" s="1"/>
      <c r="X39" s="1" t="str">
        <f>IF(TITLE_NUMBER_PR_CHANGE="",IF(TITLE_NUMBER_PR="","",TITLE_NUMBER_PR),TITLE_NUMBER_PR_CHANGE)</f>
        <v>63/2</v>
      </c>
      <c r="Y39" s="1"/>
      <c r="Z39" s="1"/>
      <c r="AA39" s="1"/>
      <c r="AB39" s="1"/>
      <c r="AC39" s="1"/>
      <c r="AD39" s="1"/>
      <c r="AE39" s="1"/>
      <c r="AG39" s="1" t="str">
        <f>IF(TITLE_NUMBER_PR_CHANGE="",IF(TITLE_NUMBER_PR="","",TITLE_NUMBER_PR),TITLE_NUMBER_PR_CHANGE)</f>
        <v>63/2</v>
      </c>
      <c r="AH39" s="1"/>
      <c r="AI39" s="1"/>
      <c r="AJ39" s="1"/>
      <c r="AK39" s="1"/>
      <c r="AL39" s="1"/>
      <c r="AM39" s="1"/>
      <c r="AN39" s="1"/>
      <c r="AW39">
        <v>0</v>
      </c>
    </row>
    <row r="40" spans="2:49" ht="0" hidden="1" customHeight="1" x14ac:dyDescent="0.15">
      <c r="AF40" t="s">
        <v>543</v>
      </c>
      <c r="AO40" t="s">
        <v>543</v>
      </c>
      <c r="AW40">
        <v>0</v>
      </c>
    </row>
    <row r="41" spans="2:49" ht="14.65" customHeight="1" x14ac:dyDescent="0.15">
      <c r="X41" s="1"/>
      <c r="Y41" s="1"/>
      <c r="Z41" s="1"/>
      <c r="AA41" s="1"/>
      <c r="AB41" s="1"/>
      <c r="AC41" s="1"/>
      <c r="AD41" s="1"/>
      <c r="AE41" s="1"/>
      <c r="AF41" s="1"/>
      <c r="AG41" s="1"/>
      <c r="AH41" s="1"/>
      <c r="AI41" s="1"/>
      <c r="AJ41" s="1"/>
      <c r="AK41" s="1"/>
      <c r="AL41" s="1"/>
      <c r="AM41" s="1"/>
      <c r="AN41" s="1"/>
      <c r="AO41" s="1"/>
      <c r="AW41">
        <v>14</v>
      </c>
    </row>
    <row r="42" spans="2:49" ht="14.65" customHeight="1" x14ac:dyDescent="0.15">
      <c r="U42" s="1" t="s">
        <v>418</v>
      </c>
      <c r="V42" s="1"/>
      <c r="W42" s="1"/>
      <c r="X42" s="1"/>
      <c r="Y42" s="1"/>
      <c r="Z42" s="1"/>
      <c r="AA42" s="1"/>
      <c r="AB42" s="1"/>
      <c r="AC42" s="1"/>
      <c r="AD42" s="1"/>
      <c r="AE42" s="1"/>
      <c r="AF42" s="1"/>
      <c r="AG42" s="1"/>
      <c r="AH42" s="1"/>
      <c r="AI42" s="1"/>
      <c r="AJ42" s="1"/>
      <c r="AK42" s="1"/>
      <c r="AL42" s="1"/>
      <c r="AM42" s="1"/>
      <c r="AN42" s="1"/>
      <c r="AO42" s="1"/>
      <c r="AP42" s="1"/>
      <c r="AQ42" s="1" t="s">
        <v>419</v>
      </c>
      <c r="AW42">
        <v>14</v>
      </c>
    </row>
    <row r="43" spans="2:49" ht="14.65" customHeight="1" x14ac:dyDescent="0.15">
      <c r="U43" s="1" t="s">
        <v>90</v>
      </c>
      <c r="V43" s="1" t="s">
        <v>544</v>
      </c>
      <c r="X43" s="1" t="s">
        <v>545</v>
      </c>
      <c r="Y43" s="1"/>
      <c r="Z43" s="1"/>
      <c r="AA43" s="1"/>
      <c r="AB43" s="1"/>
      <c r="AC43" s="1"/>
      <c r="AD43" s="1"/>
      <c r="AE43" s="1"/>
      <c r="AF43" s="1" t="s">
        <v>546</v>
      </c>
      <c r="AG43" s="1" t="s">
        <v>545</v>
      </c>
      <c r="AH43" s="1"/>
      <c r="AI43" s="1"/>
      <c r="AJ43" s="1"/>
      <c r="AK43" s="1"/>
      <c r="AL43" s="1"/>
      <c r="AM43" s="1"/>
      <c r="AN43" s="1"/>
      <c r="AO43" s="1" t="s">
        <v>547</v>
      </c>
      <c r="AP43" s="1" t="s">
        <v>548</v>
      </c>
      <c r="AQ43" s="1"/>
      <c r="AW43">
        <v>14</v>
      </c>
    </row>
    <row r="44" spans="2:49" ht="35.65" customHeight="1" x14ac:dyDescent="0.15">
      <c r="U44" s="1"/>
      <c r="V44" s="1"/>
      <c r="X44" s="1" t="s">
        <v>570</v>
      </c>
      <c r="Y44" s="1" t="s">
        <v>571</v>
      </c>
      <c r="Z44" s="1"/>
      <c r="AA44" s="1"/>
      <c r="AB44" s="1"/>
      <c r="AC44" s="1" t="s">
        <v>552</v>
      </c>
      <c r="AD44" s="1"/>
      <c r="AE44" s="1"/>
      <c r="AF44" s="1"/>
      <c r="AG44" s="1" t="s">
        <v>570</v>
      </c>
      <c r="AH44" s="1" t="s">
        <v>571</v>
      </c>
      <c r="AI44" s="1"/>
      <c r="AJ44" s="1"/>
      <c r="AK44" s="1"/>
      <c r="AL44" s="1" t="s">
        <v>552</v>
      </c>
      <c r="AM44" s="1"/>
      <c r="AN44" s="1"/>
      <c r="AO44" s="1"/>
      <c r="AP44" s="1"/>
      <c r="AQ44" s="1"/>
      <c r="AW44">
        <v>34</v>
      </c>
    </row>
    <row r="45" spans="2:49" ht="14.65" customHeight="1" x14ac:dyDescent="0.15">
      <c r="U45" s="1"/>
      <c r="V45" s="1"/>
      <c r="X45" s="1"/>
      <c r="Y45" s="1" t="s">
        <v>572</v>
      </c>
      <c r="Z45" s="1" t="s">
        <v>573</v>
      </c>
      <c r="AA45" s="1"/>
      <c r="AB45" s="1"/>
      <c r="AC45" s="1"/>
      <c r="AD45" s="1"/>
      <c r="AE45" s="1"/>
      <c r="AF45" s="1"/>
      <c r="AG45" s="1"/>
      <c r="AH45" s="1" t="s">
        <v>572</v>
      </c>
      <c r="AI45" s="1" t="s">
        <v>573</v>
      </c>
      <c r="AJ45" s="1"/>
      <c r="AK45" s="1"/>
      <c r="AL45" s="1"/>
      <c r="AM45" s="1"/>
      <c r="AN45" s="1"/>
      <c r="AO45" s="1"/>
      <c r="AP45" s="1"/>
      <c r="AQ45" s="1"/>
      <c r="AW45">
        <v>14</v>
      </c>
    </row>
    <row r="46" spans="2:49" ht="27.4" customHeight="1" x14ac:dyDescent="0.15">
      <c r="U46" s="1"/>
      <c r="V46" s="1"/>
      <c r="X46" s="1"/>
      <c r="Y46" s="1"/>
      <c r="Z46" s="1" t="s">
        <v>574</v>
      </c>
      <c r="AA46" s="1" t="s">
        <v>575</v>
      </c>
      <c r="AB46" s="1"/>
      <c r="AC46" s="1" t="s">
        <v>562</v>
      </c>
      <c r="AD46" s="1" t="s">
        <v>563</v>
      </c>
      <c r="AE46" s="1"/>
      <c r="AF46" s="1"/>
      <c r="AG46" s="1"/>
      <c r="AH46" s="1"/>
      <c r="AI46" s="1" t="s">
        <v>574</v>
      </c>
      <c r="AJ46" s="1" t="s">
        <v>575</v>
      </c>
      <c r="AK46" s="1"/>
      <c r="AL46" s="1" t="s">
        <v>562</v>
      </c>
      <c r="AM46" s="1" t="s">
        <v>563</v>
      </c>
      <c r="AN46" s="1"/>
      <c r="AO46" s="1"/>
      <c r="AP46" s="1"/>
      <c r="AQ46" s="1"/>
      <c r="AW46">
        <v>26</v>
      </c>
    </row>
    <row r="47" spans="2:49" ht="65.25" customHeight="1" x14ac:dyDescent="0.15">
      <c r="B47" t="s">
        <v>191</v>
      </c>
      <c r="C47" t="s">
        <v>192</v>
      </c>
      <c r="D47" t="s">
        <v>193</v>
      </c>
      <c r="E47" t="s">
        <v>553</v>
      </c>
      <c r="F47" t="s">
        <v>554</v>
      </c>
      <c r="G47" t="s">
        <v>555</v>
      </c>
      <c r="H47" t="s">
        <v>556</v>
      </c>
      <c r="I47" t="s">
        <v>557</v>
      </c>
      <c r="J47" t="s">
        <v>558</v>
      </c>
      <c r="K47" t="s">
        <v>559</v>
      </c>
      <c r="L47" t="s">
        <v>576</v>
      </c>
      <c r="M47" t="s">
        <v>534</v>
      </c>
      <c r="U47" s="1"/>
      <c r="V47" s="1"/>
      <c r="X47" s="1"/>
      <c r="Y47" s="1"/>
      <c r="Z47" s="1"/>
      <c r="AA47" t="s">
        <v>577</v>
      </c>
      <c r="AB47" t="s">
        <v>578</v>
      </c>
      <c r="AC47" s="1"/>
      <c r="AD47" s="1"/>
      <c r="AE47" s="1"/>
      <c r="AF47" s="1"/>
      <c r="AG47" s="1"/>
      <c r="AH47" s="1"/>
      <c r="AI47" s="1"/>
      <c r="AJ47" t="s">
        <v>577</v>
      </c>
      <c r="AK47" t="s">
        <v>578</v>
      </c>
      <c r="AL47" s="1"/>
      <c r="AM47" s="1"/>
      <c r="AN47" s="1"/>
      <c r="AO47" s="1"/>
      <c r="AP47" s="1"/>
      <c r="AQ47" s="1"/>
      <c r="AW47">
        <v>62</v>
      </c>
    </row>
    <row r="48" spans="2:49" ht="11.25" hidden="1" customHeight="1" x14ac:dyDescent="0.15">
      <c r="S48">
        <v>1</v>
      </c>
      <c r="U48" t="s">
        <v>101</v>
      </c>
      <c r="V48" t="s">
        <v>105</v>
      </c>
      <c r="W48" t="str">
        <f ca="1">OFFSET(W48,0,-1)</f>
        <v>2</v>
      </c>
      <c r="X48">
        <f ca="1">OFFSET(X48,0,-1)+1</f>
        <v>3</v>
      </c>
      <c r="AA48">
        <f ca="1">OFFSET(AA48,0,-1)+1</f>
        <v>1</v>
      </c>
      <c r="AB48">
        <f ca="1">OFFSET(AB48,0,-1)+1</f>
        <v>2</v>
      </c>
      <c r="AC48">
        <f ca="1">OFFSET(AC48,0,-1)+1</f>
        <v>3</v>
      </c>
      <c r="AD48" s="1">
        <f ca="1">OFFSET(AD48,0,-1)+1</f>
        <v>4</v>
      </c>
      <c r="AE48" s="1"/>
      <c r="AF48">
        <f ca="1">OFFSET(AF48,0,-2)+1</f>
        <v>5</v>
      </c>
      <c r="AG48">
        <f ca="1">OFFSET(AG48,0,-1)+1</f>
        <v>6</v>
      </c>
      <c r="AJ48">
        <f ca="1">OFFSET(AJ48,0,-1)+1</f>
        <v>1</v>
      </c>
      <c r="AK48">
        <f ca="1">OFFSET(AK48,0,-1)+1</f>
        <v>2</v>
      </c>
      <c r="AL48">
        <f ca="1">OFFSET(AL48,0,-1)+1</f>
        <v>3</v>
      </c>
      <c r="AM48" s="1">
        <f ca="1">OFFSET(AM48,0,-1)+1</f>
        <v>4</v>
      </c>
      <c r="AN48" s="1"/>
      <c r="AO48">
        <f ca="1">OFFSET(AO48,0,-2)+1</f>
        <v>5</v>
      </c>
      <c r="AP48">
        <f ca="1">OFFSET(AP48,0,-1)</f>
        <v>5</v>
      </c>
      <c r="AQ48">
        <f ca="1">OFFSET(AQ48,0,-1)+1</f>
        <v>6</v>
      </c>
      <c r="AW48">
        <v>0</v>
      </c>
    </row>
    <row r="49" spans="1:49" ht="21.95" customHeight="1" x14ac:dyDescent="0.15">
      <c r="A49" t="s">
        <v>225</v>
      </c>
      <c r="E49" s="1">
        <v>1</v>
      </c>
      <c r="U49">
        <f>INDEX(PT_DIFFERENTIATION_NUM_NTAR,MATCH(A49,PT_DIFFERENTIATION_NTAR_ID,0))</f>
        <v>0</v>
      </c>
      <c r="V49" t="s">
        <v>179</v>
      </c>
      <c r="X49" s="1"/>
      <c r="Y49" s="1"/>
      <c r="Z49" s="1"/>
      <c r="AA49" s="1"/>
      <c r="AB49" s="1"/>
      <c r="AC49" s="1"/>
      <c r="AD49" s="1"/>
      <c r="AE49" s="1"/>
      <c r="AF49" s="1"/>
      <c r="AG49" s="1" t="str">
        <f>INDEX(PT_DIFFERENTIATION_NTAR,MATCH(A49,PT_DIFFERENTIATION_NTAR_ID,0))</f>
        <v/>
      </c>
      <c r="AH49" s="1"/>
      <c r="AI49" s="1"/>
      <c r="AJ49" s="1"/>
      <c r="AK49" s="1"/>
      <c r="AL49" s="1"/>
      <c r="AM49" s="1"/>
      <c r="AN49" s="1"/>
      <c r="AO49" s="1"/>
      <c r="AP49" s="1"/>
      <c r="AQ4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T49" t="str">
        <f t="shared" ref="AT49:AT65" si="2">IF(V49="","",V49)</f>
        <v>Наименование тарифа</v>
      </c>
      <c r="AW49">
        <v>21</v>
      </c>
    </row>
    <row r="50" spans="1:49" ht="21.95" customHeight="1" x14ac:dyDescent="0.15">
      <c r="A50" t="s">
        <v>225</v>
      </c>
      <c r="B50" t="s">
        <v>226</v>
      </c>
      <c r="E50" s="1"/>
      <c r="F50" s="1">
        <v>1</v>
      </c>
      <c r="U50" t="str">
        <f>INDEX(PT_DIFFERENTIATION_NUM_TER,MATCH(B50,PT_DIFFERENTIATION_TER_ID,0))</f>
        <v>.</v>
      </c>
      <c r="V50" t="s">
        <v>515</v>
      </c>
      <c r="X50" s="1"/>
      <c r="Y50" s="1"/>
      <c r="Z50" s="1"/>
      <c r="AA50" s="1"/>
      <c r="AB50" s="1"/>
      <c r="AC50" s="1"/>
      <c r="AD50" s="1"/>
      <c r="AE50" s="1"/>
      <c r="AF50" s="1"/>
      <c r="AG50" s="1" t="str">
        <f>INDEX(PT_DIFFERENTIATION_TER,MATCH(B50,PT_DIFFERENTIATION_TER_ID,0))</f>
        <v/>
      </c>
      <c r="AH50" s="1"/>
      <c r="AI50" s="1"/>
      <c r="AJ50" s="1"/>
      <c r="AK50" s="1"/>
      <c r="AL50" s="1"/>
      <c r="AM50" s="1"/>
      <c r="AN50" s="1"/>
      <c r="AO50" s="1"/>
      <c r="AP50" s="1"/>
      <c r="AQ50" t="s">
        <v>516</v>
      </c>
      <c r="AT50" t="str">
        <f t="shared" si="2"/>
        <v>Территория действия тарифа</v>
      </c>
      <c r="AW50">
        <v>21</v>
      </c>
    </row>
    <row r="51" spans="1:49" ht="24" customHeight="1" x14ac:dyDescent="0.15">
      <c r="A51" t="s">
        <v>225</v>
      </c>
      <c r="B51" t="s">
        <v>226</v>
      </c>
      <c r="C51" t="s">
        <v>227</v>
      </c>
      <c r="E51" s="1"/>
      <c r="F51" s="1"/>
      <c r="G51" s="1">
        <v>1</v>
      </c>
      <c r="U51" t="str">
        <f>INDEX(PT_DIFFERENTIATION_NUM_CS,MATCH(C51,PT_DIFFERENTIATION_CS_ID,0))</f>
        <v>..</v>
      </c>
      <c r="V51" t="s">
        <v>517</v>
      </c>
      <c r="X51" s="1"/>
      <c r="Y51" s="1"/>
      <c r="Z51" s="1"/>
      <c r="AA51" s="1"/>
      <c r="AB51" s="1"/>
      <c r="AC51" s="1"/>
      <c r="AD51" s="1"/>
      <c r="AE51" s="1"/>
      <c r="AF51" s="1"/>
      <c r="AG51" s="1" t="str">
        <f>INDEX(PT_DIFFERENTIATION_CS,MATCH(C51,PT_DIFFERENTIATION_CS_ID,0))</f>
        <v/>
      </c>
      <c r="AH51" s="1"/>
      <c r="AI51" s="1"/>
      <c r="AJ51" s="1"/>
      <c r="AK51" s="1"/>
      <c r="AL51" s="1"/>
      <c r="AM51" s="1"/>
      <c r="AN51" s="1"/>
      <c r="AO51" s="1"/>
      <c r="AP51" s="1"/>
      <c r="AQ51" t="s">
        <v>518</v>
      </c>
      <c r="AT51" t="str">
        <f t="shared" si="2"/>
        <v xml:space="preserve">Наименование системы теплоснабжения </v>
      </c>
      <c r="AW51">
        <v>23</v>
      </c>
    </row>
    <row r="52" spans="1:49" ht="21.95" customHeight="1" x14ac:dyDescent="0.15">
      <c r="A52" t="s">
        <v>225</v>
      </c>
      <c r="B52" t="s">
        <v>226</v>
      </c>
      <c r="C52" t="s">
        <v>227</v>
      </c>
      <c r="D52" t="s">
        <v>228</v>
      </c>
      <c r="E52" s="1"/>
      <c r="F52" s="1"/>
      <c r="G52" s="1"/>
      <c r="H52" s="1">
        <v>1</v>
      </c>
      <c r="U52" t="str">
        <f>INDEX(PT_DIFFERENTIATION_NUM_IST_TE,MATCH(D52,PT_DIFFERENTIATION_IST_TE_ID,0))</f>
        <v>...</v>
      </c>
      <c r="V52" t="s">
        <v>519</v>
      </c>
      <c r="X52" s="1"/>
      <c r="Y52" s="1"/>
      <c r="Z52" s="1"/>
      <c r="AA52" s="1"/>
      <c r="AB52" s="1"/>
      <c r="AC52" s="1"/>
      <c r="AD52" s="1"/>
      <c r="AE52" s="1"/>
      <c r="AF52" s="1"/>
      <c r="AG52" s="1" t="str">
        <f>INDEX(PT_DIFFERENTIATION_IST_TE,MATCH(D52,PT_DIFFERENTIATION_IST_TE_ID,0))</f>
        <v/>
      </c>
      <c r="AH52" s="1"/>
      <c r="AI52" s="1"/>
      <c r="AJ52" s="1"/>
      <c r="AK52" s="1"/>
      <c r="AL52" s="1"/>
      <c r="AM52" s="1"/>
      <c r="AN52" s="1"/>
      <c r="AO52" s="1"/>
      <c r="AP52" s="1"/>
      <c r="AQ52" t="s">
        <v>520</v>
      </c>
      <c r="AT52" t="str">
        <f t="shared" si="2"/>
        <v xml:space="preserve">Источник тепловой энергии  </v>
      </c>
      <c r="AW52">
        <v>21</v>
      </c>
    </row>
    <row r="53" spans="1:49" ht="0" hidden="1" customHeight="1" x14ac:dyDescent="0.15">
      <c r="A53" t="s">
        <v>225</v>
      </c>
      <c r="B53" t="s">
        <v>226</v>
      </c>
      <c r="C53" t="s">
        <v>227</v>
      </c>
      <c r="D53" t="s">
        <v>228</v>
      </c>
      <c r="E53" s="1"/>
      <c r="F53" s="1"/>
      <c r="G53" s="1"/>
      <c r="H53" s="1"/>
      <c r="I53" s="1" t="str">
        <f>U52&amp;".1"</f>
        <v>....1</v>
      </c>
      <c r="M53" t="s">
        <v>521</v>
      </c>
      <c r="Q53" s="1">
        <v>1</v>
      </c>
      <c r="X53" s="1"/>
      <c r="Y53" s="1"/>
      <c r="Z53" s="1"/>
      <c r="AA53" s="1"/>
      <c r="AB53" s="1"/>
      <c r="AC53" s="1"/>
      <c r="AD53" s="1"/>
      <c r="AE53" s="1"/>
      <c r="AF53" s="1"/>
      <c r="AG53" s="1"/>
      <c r="AH53" s="1"/>
      <c r="AI53" s="1"/>
      <c r="AJ53" s="1"/>
      <c r="AK53" s="1"/>
      <c r="AL53" s="1"/>
      <c r="AM53" s="1"/>
      <c r="AN53" s="1"/>
      <c r="AO53" s="1"/>
      <c r="AP53" s="1"/>
      <c r="AT53" t="str">
        <f t="shared" si="2"/>
        <v/>
      </c>
      <c r="AW53">
        <v>0</v>
      </c>
    </row>
    <row r="54" spans="1:49" ht="21.95" customHeight="1" x14ac:dyDescent="0.15">
      <c r="A54" t="s">
        <v>225</v>
      </c>
      <c r="B54" t="s">
        <v>226</v>
      </c>
      <c r="C54" t="s">
        <v>227</v>
      </c>
      <c r="D54" t="s">
        <v>228</v>
      </c>
      <c r="E54" s="1"/>
      <c r="F54" s="1"/>
      <c r="G54" s="1"/>
      <c r="H54" s="1"/>
      <c r="I54" s="1"/>
      <c r="J54" s="1" t="str">
        <f>I53&amp;".1"</f>
        <v>....1.1</v>
      </c>
      <c r="M54" t="s">
        <v>524</v>
      </c>
      <c r="Q54" s="1"/>
      <c r="R54" s="1">
        <v>1</v>
      </c>
      <c r="U54" t="str">
        <f>$J54</f>
        <v>....1.1</v>
      </c>
      <c r="V54" t="s">
        <v>525</v>
      </c>
      <c r="X54" s="1"/>
      <c r="Y54" s="1"/>
      <c r="Z54" s="1"/>
      <c r="AA54" s="1"/>
      <c r="AB54" s="1"/>
      <c r="AC54" s="1"/>
      <c r="AD54" s="1"/>
      <c r="AE54" s="1"/>
      <c r="AF54" s="1"/>
      <c r="AG54" s="1"/>
      <c r="AH54" s="1"/>
      <c r="AI54" s="1"/>
      <c r="AJ54" s="1"/>
      <c r="AK54" s="1"/>
      <c r="AL54" s="1"/>
      <c r="AM54" s="1"/>
      <c r="AN54" s="1"/>
      <c r="AO54" s="1"/>
      <c r="AP54" s="1"/>
      <c r="AQ54" t="s">
        <v>526</v>
      </c>
      <c r="AT54" t="str">
        <f t="shared" si="2"/>
        <v>Группа потребителей</v>
      </c>
      <c r="AW54">
        <v>21</v>
      </c>
    </row>
    <row r="55" spans="1:49" ht="21.95" customHeight="1" x14ac:dyDescent="0.15">
      <c r="A55" t="s">
        <v>225</v>
      </c>
      <c r="B55" t="s">
        <v>226</v>
      </c>
      <c r="C55" t="s">
        <v>227</v>
      </c>
      <c r="D55" t="s">
        <v>228</v>
      </c>
      <c r="E55" s="1"/>
      <c r="F55" s="1"/>
      <c r="G55" s="1"/>
      <c r="H55" s="1"/>
      <c r="I55" s="1"/>
      <c r="J55" s="1"/>
      <c r="K55" s="1" t="str">
        <f>J54&amp;".1"</f>
        <v>....1.1.1</v>
      </c>
      <c r="M55" t="s">
        <v>527</v>
      </c>
      <c r="Q55" s="1"/>
      <c r="R55" s="1"/>
      <c r="S55">
        <v>1</v>
      </c>
      <c r="U55" t="str">
        <f>$K55</f>
        <v>....1.1.1</v>
      </c>
      <c r="AC55" s="1"/>
      <c r="AD55" s="1" t="s">
        <v>63</v>
      </c>
      <c r="AE55" s="1"/>
      <c r="AF55" s="1" t="s">
        <v>63</v>
      </c>
      <c r="AL55" s="1"/>
      <c r="AM55" s="1" t="s">
        <v>63</v>
      </c>
      <c r="AN55" s="1"/>
      <c r="AO55" s="1" t="s">
        <v>63</v>
      </c>
      <c r="AQ55" t="s">
        <v>567</v>
      </c>
      <c r="AR55" t="e">
        <f ca="1">STRCHECKDATE(X57:AP57)</f>
        <v>#NAME?</v>
      </c>
      <c r="AT55" t="str">
        <f t="shared" si="2"/>
        <v/>
      </c>
      <c r="AW55">
        <v>21</v>
      </c>
    </row>
    <row r="56" spans="1:49" ht="11.45" customHeight="1" x14ac:dyDescent="0.15">
      <c r="A56" t="s">
        <v>225</v>
      </c>
      <c r="B56" t="s">
        <v>226</v>
      </c>
      <c r="C56" t="s">
        <v>227</v>
      </c>
      <c r="D56" t="s">
        <v>228</v>
      </c>
      <c r="E56" s="1"/>
      <c r="F56" s="1"/>
      <c r="G56" s="1"/>
      <c r="H56" s="1"/>
      <c r="I56" s="1"/>
      <c r="J56" s="1"/>
      <c r="K56" s="1"/>
      <c r="L56" s="1" t="str">
        <f>K55&amp;".1"</f>
        <v>....1.1.1.1</v>
      </c>
      <c r="Q56" s="1"/>
      <c r="R56" s="1"/>
      <c r="S56">
        <v>1</v>
      </c>
      <c r="U56" t="str">
        <f>$L56</f>
        <v>....1.1.1.1</v>
      </c>
      <c r="AC56" s="1"/>
      <c r="AD56" s="1"/>
      <c r="AE56" s="1"/>
      <c r="AF56" s="1"/>
      <c r="AL56" s="1"/>
      <c r="AM56" s="1"/>
      <c r="AN56" s="1"/>
      <c r="AO56" s="1"/>
      <c r="AQ56" s="1" t="s">
        <v>568</v>
      </c>
      <c r="AR56" t="e">
        <f ca="1">STRCHECKDATE(X58:AP58)</f>
        <v>#NAME?</v>
      </c>
      <c r="AT56" t="str">
        <f t="shared" si="2"/>
        <v/>
      </c>
      <c r="AW56">
        <v>11</v>
      </c>
    </row>
    <row r="57" spans="1:49" ht="0" hidden="1" customHeight="1" x14ac:dyDescent="0.15">
      <c r="A57" t="s">
        <v>225</v>
      </c>
      <c r="B57" t="s">
        <v>226</v>
      </c>
      <c r="C57" t="s">
        <v>227</v>
      </c>
      <c r="D57" t="s">
        <v>228</v>
      </c>
      <c r="E57" s="1"/>
      <c r="F57" s="1"/>
      <c r="G57" s="1"/>
      <c r="H57" s="1"/>
      <c r="I57" s="1"/>
      <c r="J57" s="1"/>
      <c r="K57" s="1"/>
      <c r="L57" s="1"/>
      <c r="Q57" s="1"/>
      <c r="R57" s="1"/>
      <c r="AB57" t="str">
        <f>AC55&amp;"-"&amp;AE55</f>
        <v>-</v>
      </c>
      <c r="AC57" s="1"/>
      <c r="AD57" s="1"/>
      <c r="AE57" s="1"/>
      <c r="AF57" s="1"/>
      <c r="AK57" t="str">
        <f>AL55&amp;"-"&amp;AN55</f>
        <v>-</v>
      </c>
      <c r="AL57" s="1"/>
      <c r="AM57" s="1"/>
      <c r="AN57" s="1"/>
      <c r="AO57" s="1"/>
      <c r="AQ57" s="1"/>
      <c r="AT57" t="str">
        <f t="shared" si="2"/>
        <v/>
      </c>
      <c r="AW57">
        <v>0</v>
      </c>
    </row>
    <row r="58" spans="1:49" ht="11.45" customHeight="1" x14ac:dyDescent="0.15">
      <c r="A58" t="s">
        <v>225</v>
      </c>
      <c r="B58" t="s">
        <v>226</v>
      </c>
      <c r="C58" t="s">
        <v>227</v>
      </c>
      <c r="D58" t="s">
        <v>228</v>
      </c>
      <c r="E58" s="1"/>
      <c r="F58" s="1"/>
      <c r="G58" s="1"/>
      <c r="H58" s="1"/>
      <c r="I58" s="1"/>
      <c r="J58" s="1"/>
      <c r="K58" s="1"/>
      <c r="Q58" s="1"/>
      <c r="R58" s="1"/>
      <c r="V58" t="s">
        <v>569</v>
      </c>
      <c r="AC58" s="1"/>
      <c r="AD58" s="1"/>
      <c r="AE58" s="1"/>
      <c r="AF58" s="1"/>
      <c r="AL58" s="1"/>
      <c r="AM58" s="1"/>
      <c r="AN58" s="1"/>
      <c r="AO58" s="1"/>
      <c r="AQ58" s="1"/>
      <c r="AT58" t="str">
        <f t="shared" si="2"/>
        <v>Добавить наименование поставщика</v>
      </c>
      <c r="AW58">
        <v>11</v>
      </c>
    </row>
    <row r="59" spans="1:49" ht="11.45" customHeight="1" x14ac:dyDescent="0.15">
      <c r="A59" t="s">
        <v>225</v>
      </c>
      <c r="B59" t="s">
        <v>226</v>
      </c>
      <c r="C59" t="s">
        <v>227</v>
      </c>
      <c r="D59" t="s">
        <v>228</v>
      </c>
      <c r="E59" s="1"/>
      <c r="F59" s="1"/>
      <c r="G59" s="1"/>
      <c r="H59" s="1"/>
      <c r="I59" s="1"/>
      <c r="J59" s="1"/>
      <c r="Q59" s="1"/>
      <c r="R59" s="1"/>
      <c r="V59" t="s">
        <v>529</v>
      </c>
      <c r="AQ59" s="1"/>
      <c r="AT59" t="str">
        <f t="shared" si="2"/>
        <v>Добавить вид теплоносителя (параметры теплоносителя)</v>
      </c>
      <c r="AW59">
        <v>11</v>
      </c>
    </row>
    <row r="60" spans="1:49" ht="11.45" customHeight="1" x14ac:dyDescent="0.15">
      <c r="A60" t="s">
        <v>225</v>
      </c>
      <c r="B60" t="s">
        <v>226</v>
      </c>
      <c r="C60" t="s">
        <v>227</v>
      </c>
      <c r="D60" t="s">
        <v>228</v>
      </c>
      <c r="E60" s="1"/>
      <c r="F60" s="1"/>
      <c r="G60" s="1"/>
      <c r="H60" s="1"/>
      <c r="I60" s="1"/>
      <c r="Q60" s="1"/>
      <c r="V60" t="s">
        <v>530</v>
      </c>
      <c r="AT60" t="str">
        <f t="shared" si="2"/>
        <v>Добавить группу потребителей</v>
      </c>
      <c r="AW60">
        <v>11</v>
      </c>
    </row>
    <row r="61" spans="1:49" ht="0" hidden="1" customHeight="1" x14ac:dyDescent="0.15">
      <c r="A61" t="s">
        <v>225</v>
      </c>
      <c r="B61" t="s">
        <v>226</v>
      </c>
      <c r="C61" t="s">
        <v>227</v>
      </c>
      <c r="D61" t="s">
        <v>228</v>
      </c>
      <c r="E61" s="1"/>
      <c r="F61" s="1"/>
      <c r="G61" s="1"/>
      <c r="H61" s="1"/>
      <c r="AT61" t="str">
        <f t="shared" si="2"/>
        <v/>
      </c>
      <c r="AW61">
        <v>0</v>
      </c>
    </row>
    <row r="62" spans="1:49" ht="0" hidden="1" customHeight="1" x14ac:dyDescent="0.15">
      <c r="A62" t="s">
        <v>225</v>
      </c>
      <c r="B62" t="s">
        <v>226</v>
      </c>
      <c r="C62" t="s">
        <v>227</v>
      </c>
      <c r="E62" s="1"/>
      <c r="F62" s="1"/>
      <c r="G62" s="1"/>
      <c r="V62" t="s">
        <v>532</v>
      </c>
      <c r="AT62" t="str">
        <f t="shared" si="2"/>
        <v>Добавить источник для дифференциации</v>
      </c>
      <c r="AW62">
        <v>0</v>
      </c>
    </row>
    <row r="63" spans="1:49" ht="0" hidden="1" customHeight="1" x14ac:dyDescent="0.15">
      <c r="A63" t="s">
        <v>225</v>
      </c>
      <c r="B63" t="s">
        <v>226</v>
      </c>
      <c r="E63" s="1"/>
      <c r="F63" s="1"/>
      <c r="V63" t="s">
        <v>321</v>
      </c>
      <c r="AT63" t="str">
        <f t="shared" si="2"/>
        <v>Добавить централизованную систему для дифференциации</v>
      </c>
      <c r="AW63">
        <v>0</v>
      </c>
    </row>
    <row r="64" spans="1:49" ht="0" hidden="1" customHeight="1" x14ac:dyDescent="0.15">
      <c r="A64" t="s">
        <v>225</v>
      </c>
      <c r="E64" s="1"/>
      <c r="V64" t="s">
        <v>385</v>
      </c>
      <c r="AT64" t="str">
        <f t="shared" si="2"/>
        <v>Добавить территорию для дифференциации</v>
      </c>
      <c r="AW64">
        <v>0</v>
      </c>
    </row>
    <row r="65" spans="1:49" ht="4.1500000000000004" customHeight="1" x14ac:dyDescent="0.15">
      <c r="V65" t="s">
        <v>386</v>
      </c>
      <c r="AT65" t="str">
        <f t="shared" si="2"/>
        <v>Добавить наименование тарифа</v>
      </c>
      <c r="AW65">
        <v>4</v>
      </c>
    </row>
    <row r="66" spans="1:49" ht="11.45" customHeight="1" x14ac:dyDescent="0.15">
      <c r="AW66">
        <v>11</v>
      </c>
    </row>
    <row r="67" spans="1:49" ht="35.65" customHeight="1" x14ac:dyDescent="0.15">
      <c r="V67" s="1"/>
      <c r="W67" s="1"/>
      <c r="X67" s="1"/>
      <c r="Y67" s="1"/>
      <c r="Z67" s="1"/>
      <c r="AA67" s="1"/>
      <c r="AB67" s="1"/>
      <c r="AC67" s="1"/>
      <c r="AD67" s="1"/>
      <c r="AE67" s="1"/>
      <c r="AF67" s="1"/>
      <c r="AG67" s="1"/>
      <c r="AH67" s="1"/>
      <c r="AI67" s="1"/>
      <c r="AJ67" s="1"/>
      <c r="AK67" s="1"/>
      <c r="AL67" s="1"/>
      <c r="AM67" s="1"/>
      <c r="AN67" s="1"/>
      <c r="AO67" s="1"/>
      <c r="AP67" s="1"/>
      <c r="AQ67" s="1"/>
      <c r="AW67">
        <v>34</v>
      </c>
    </row>
    <row r="68" spans="1:49" ht="21" customHeight="1" x14ac:dyDescent="0.15">
      <c r="V68" s="1"/>
      <c r="W68" s="1"/>
      <c r="X68" s="1"/>
      <c r="Y68" s="1"/>
      <c r="Z68" s="1"/>
      <c r="AA68" s="1"/>
      <c r="AB68" s="1"/>
      <c r="AC68" s="1"/>
      <c r="AD68" s="1"/>
      <c r="AE68" s="1"/>
      <c r="AF68" s="1"/>
      <c r="AG68" s="1"/>
      <c r="AH68" s="1"/>
      <c r="AI68" s="1"/>
      <c r="AJ68" s="1"/>
      <c r="AK68" s="1"/>
      <c r="AL68" s="1"/>
      <c r="AM68" s="1"/>
      <c r="AN68" s="1"/>
      <c r="AO68" s="1"/>
      <c r="AP68" s="1"/>
      <c r="AQ68" s="1"/>
      <c r="AW68">
        <v>20</v>
      </c>
    </row>
    <row r="69" spans="1:49" ht="14.65" customHeight="1" x14ac:dyDescent="0.15">
      <c r="AW69">
        <v>14</v>
      </c>
    </row>
    <row r="70" spans="1:49" ht="28.5" customHeight="1" x14ac:dyDescent="0.15">
      <c r="V70" s="1"/>
      <c r="W70" s="1"/>
      <c r="X70" s="1"/>
      <c r="Y70" s="1"/>
      <c r="Z70" s="1"/>
      <c r="AA70" s="1"/>
      <c r="AB70" s="1"/>
      <c r="AC70" s="1"/>
      <c r="AD70" s="1"/>
      <c r="AE70" s="1"/>
      <c r="AF70" s="1"/>
      <c r="AG70" s="1"/>
      <c r="AH70" s="1"/>
      <c r="AI70" s="1"/>
      <c r="AJ70" s="1"/>
      <c r="AK70" s="1"/>
      <c r="AL70" s="1"/>
      <c r="AM70" s="1"/>
      <c r="AN70" s="1"/>
      <c r="AO70" s="1"/>
      <c r="AP70" s="1"/>
      <c r="AQ70" s="1"/>
      <c r="AW70">
        <v>27</v>
      </c>
    </row>
    <row r="71" spans="1:49" ht="18.75" customHeight="1" x14ac:dyDescent="0.15">
      <c r="V71" s="1"/>
      <c r="W71" s="1"/>
      <c r="X71" s="1"/>
      <c r="Y71" s="1"/>
      <c r="Z71" s="1"/>
      <c r="AA71" s="1"/>
      <c r="AB71" s="1"/>
      <c r="AC71" s="1"/>
      <c r="AD71" s="1"/>
      <c r="AE71" s="1"/>
      <c r="AF71" s="1"/>
      <c r="AG71" s="1"/>
      <c r="AH71" s="1"/>
      <c r="AI71" s="1"/>
      <c r="AJ71" s="1"/>
      <c r="AK71" s="1"/>
      <c r="AL71" s="1"/>
      <c r="AM71" s="1"/>
      <c r="AN71" s="1"/>
      <c r="AO71" s="1"/>
      <c r="AP71" s="1"/>
      <c r="AQ71" s="1"/>
      <c r="AW71">
        <v>18</v>
      </c>
    </row>
    <row r="72" spans="1:49" ht="22.5" hidden="1" customHeight="1" x14ac:dyDescent="0.15">
      <c r="A72" t="s">
        <v>84</v>
      </c>
      <c r="B72">
        <v>0</v>
      </c>
      <c r="C72">
        <v>0</v>
      </c>
      <c r="D72">
        <v>0</v>
      </c>
      <c r="E72">
        <v>0</v>
      </c>
      <c r="F72">
        <v>0</v>
      </c>
      <c r="G72">
        <v>0</v>
      </c>
      <c r="H72">
        <v>0</v>
      </c>
      <c r="I72">
        <v>0</v>
      </c>
      <c r="J72">
        <v>0</v>
      </c>
      <c r="K72">
        <v>0</v>
      </c>
      <c r="L72">
        <v>0</v>
      </c>
      <c r="M72">
        <v>0</v>
      </c>
      <c r="N72">
        <v>0</v>
      </c>
      <c r="O72">
        <v>0</v>
      </c>
      <c r="P72">
        <v>0</v>
      </c>
      <c r="Q72">
        <v>0</v>
      </c>
      <c r="R72">
        <v>3</v>
      </c>
      <c r="S72">
        <v>3</v>
      </c>
      <c r="T72">
        <v>3</v>
      </c>
      <c r="U72">
        <v>12</v>
      </c>
      <c r="V72">
        <v>31</v>
      </c>
      <c r="W72">
        <v>0</v>
      </c>
      <c r="X72">
        <v>0</v>
      </c>
      <c r="Y72">
        <v>0</v>
      </c>
      <c r="Z72">
        <v>0</v>
      </c>
      <c r="AA72">
        <v>0</v>
      </c>
      <c r="AB72">
        <v>0</v>
      </c>
      <c r="AC72">
        <v>0</v>
      </c>
      <c r="AD72">
        <v>0</v>
      </c>
      <c r="AE72">
        <v>0</v>
      </c>
      <c r="AF72">
        <v>0</v>
      </c>
      <c r="AG72">
        <v>21</v>
      </c>
      <c r="AH72">
        <v>21</v>
      </c>
      <c r="AI72">
        <v>21</v>
      </c>
      <c r="AJ72">
        <v>21</v>
      </c>
      <c r="AK72">
        <v>21</v>
      </c>
      <c r="AL72">
        <v>11</v>
      </c>
      <c r="AM72">
        <v>3</v>
      </c>
      <c r="AN72">
        <v>11</v>
      </c>
      <c r="AO72">
        <v>8</v>
      </c>
      <c r="AP72">
        <v>4</v>
      </c>
      <c r="AQ72">
        <v>115</v>
      </c>
      <c r="AR72">
        <v>10</v>
      </c>
      <c r="AS72">
        <v>10</v>
      </c>
      <c r="AT72">
        <v>10</v>
      </c>
      <c r="AU72">
        <v>10</v>
      </c>
      <c r="AV72">
        <v>10</v>
      </c>
      <c r="AW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5.42578125" customWidth="1"/>
    <col min="29" max="30" width="3" customWidth="1"/>
    <col min="31" max="31" width="24" customWidth="1"/>
    <col min="32" max="32" width="3.7109375" customWidth="1"/>
    <col min="33" max="34" width="3" customWidth="1"/>
    <col min="35" max="35" width="24" customWidth="1"/>
    <col min="36" max="36" width="3.7109375" customWidth="1"/>
    <col min="37" max="38" width="3" customWidth="1"/>
    <col min="39" max="39" width="18" customWidth="1"/>
    <col min="40" max="41" width="21" customWidth="1"/>
    <col min="42" max="42" width="11" customWidth="1"/>
    <col min="43" max="43" width="3.7109375" customWidth="1"/>
    <col min="44" max="44" width="11" customWidth="1"/>
    <col min="45" max="45" width="8.5703125" hidden="1" customWidth="1"/>
    <col min="46" max="46" width="4" customWidth="1"/>
    <col min="47" max="47" width="115" customWidth="1"/>
    <col min="48" max="52" width="10" customWidth="1"/>
    <col min="53" max="53" width="10.5703125" hidden="1"/>
  </cols>
  <sheetData>
    <row r="1" spans="5:53" ht="22.5" hidden="1" customHeight="1" x14ac:dyDescent="0.15">
      <c r="BA1" t="s">
        <v>14</v>
      </c>
    </row>
    <row r="2" spans="5:53" ht="21" hidden="1" customHeight="1" x14ac:dyDescent="0.15">
      <c r="E2" s="1">
        <v>1</v>
      </c>
      <c r="S2" t="e">
        <f>INDEX(PT_DIFFERENTIATION_NUM_NTAR,MATCH(A2,PT_DIFFERENTIATION_NTAR_ID,0))</f>
        <v>#N/A</v>
      </c>
      <c r="T2" t="s">
        <v>179</v>
      </c>
      <c r="V2" s="1"/>
      <c r="W2" s="1"/>
      <c r="X2" s="1"/>
      <c r="Y2" s="1"/>
      <c r="Z2" s="1"/>
      <c r="AA2" s="1"/>
      <c r="AB2" s="1" t="e">
        <f>INDEX(PT_DIFFERENTIATION_NTAR,MATCH(A2,PT_DIFFERENTIATION_NTAR_ID,0))</f>
        <v>#N/A</v>
      </c>
      <c r="AC2" s="1"/>
      <c r="AD2" s="1"/>
      <c r="AE2" s="1"/>
      <c r="AF2" s="1"/>
      <c r="AG2" s="1"/>
      <c r="AH2" s="1"/>
      <c r="AI2" s="1"/>
      <c r="AJ2" s="1"/>
      <c r="AK2" s="1"/>
      <c r="AL2" s="1"/>
      <c r="AM2" s="1"/>
      <c r="AN2" s="1"/>
      <c r="AO2" s="1"/>
      <c r="AP2" s="1"/>
      <c r="AQ2" s="1"/>
      <c r="AR2" s="1"/>
      <c r="AS2" s="1"/>
      <c r="AT2" s="1"/>
      <c r="AU2" t="s">
        <v>514</v>
      </c>
      <c r="AX2" t="str">
        <f t="shared" ref="AX2:AX8" si="0">IF(T2="","",T2)</f>
        <v>Наименование тарифа</v>
      </c>
      <c r="BA2">
        <v>0</v>
      </c>
    </row>
    <row r="3" spans="5:53" ht="21" hidden="1" customHeight="1" x14ac:dyDescent="0.15">
      <c r="E3" s="1"/>
      <c r="F3" s="1">
        <v>1</v>
      </c>
      <c r="S3" t="e">
        <f>INDEX(PT_DIFFERENTIATION_NUM_TER,MATCH(B3,PT_DIFFERENTIATION_TER_ID,0))</f>
        <v>#N/A</v>
      </c>
      <c r="T3" t="s">
        <v>515</v>
      </c>
      <c r="V3" s="1"/>
      <c r="W3" s="1"/>
      <c r="X3" s="1"/>
      <c r="Y3" s="1"/>
      <c r="Z3" s="1"/>
      <c r="AA3" s="1"/>
      <c r="AB3" s="1" t="e">
        <f>INDEX(PT_DIFFERENTIATION_TER,MATCH(B3,PT_DIFFERENTIATION_TER_ID,0))</f>
        <v>#N/A</v>
      </c>
      <c r="AC3" s="1"/>
      <c r="AD3" s="1"/>
      <c r="AE3" s="1"/>
      <c r="AF3" s="1"/>
      <c r="AG3" s="1"/>
      <c r="AH3" s="1"/>
      <c r="AI3" s="1"/>
      <c r="AJ3" s="1"/>
      <c r="AK3" s="1"/>
      <c r="AL3" s="1"/>
      <c r="AM3" s="1"/>
      <c r="AN3" s="1"/>
      <c r="AO3" s="1"/>
      <c r="AP3" s="1"/>
      <c r="AQ3" s="1"/>
      <c r="AR3" s="1"/>
      <c r="AS3" s="1"/>
      <c r="AT3" s="1"/>
      <c r="AU3" t="s">
        <v>516</v>
      </c>
      <c r="AX3" t="str">
        <f t="shared" si="0"/>
        <v>Территория действия тарифа</v>
      </c>
      <c r="BA3">
        <v>0</v>
      </c>
    </row>
    <row r="4" spans="5:53" ht="22.5" hidden="1" customHeight="1" x14ac:dyDescent="0.15">
      <c r="E4" s="1"/>
      <c r="F4" s="1"/>
      <c r="G4" s="1">
        <v>1</v>
      </c>
      <c r="S4" t="e">
        <f>INDEX(PT_DIFFERENTIATION_NUM_CS,MATCH(C4,PT_DIFFERENTIATION_CS_ID,0))</f>
        <v>#N/A</v>
      </c>
      <c r="T4" t="s">
        <v>517</v>
      </c>
      <c r="V4" s="1"/>
      <c r="W4" s="1"/>
      <c r="X4" s="1"/>
      <c r="Y4" s="1"/>
      <c r="Z4" s="1"/>
      <c r="AA4" s="1"/>
      <c r="AB4" s="1" t="e">
        <f>INDEX(PT_DIFFERENTIATION_CS,MATCH(C4,PT_DIFFERENTIATION_CS_ID,0))</f>
        <v>#N/A</v>
      </c>
      <c r="AC4" s="1"/>
      <c r="AD4" s="1"/>
      <c r="AE4" s="1"/>
      <c r="AF4" s="1"/>
      <c r="AG4" s="1"/>
      <c r="AH4" s="1"/>
      <c r="AI4" s="1"/>
      <c r="AJ4" s="1"/>
      <c r="AK4" s="1"/>
      <c r="AL4" s="1"/>
      <c r="AM4" s="1"/>
      <c r="AN4" s="1"/>
      <c r="AO4" s="1"/>
      <c r="AP4" s="1"/>
      <c r="AQ4" s="1"/>
      <c r="AR4" s="1"/>
      <c r="AS4" s="1"/>
      <c r="AT4" s="1"/>
      <c r="AU4" t="s">
        <v>518</v>
      </c>
      <c r="AX4" t="str">
        <f t="shared" si="0"/>
        <v xml:space="preserve">Наименование системы теплоснабжения </v>
      </c>
      <c r="BA4">
        <v>0</v>
      </c>
    </row>
    <row r="5" spans="5:53" ht="21" hidden="1" customHeight="1" x14ac:dyDescent="0.15">
      <c r="E5" s="1"/>
      <c r="F5" s="1"/>
      <c r="G5" s="1"/>
      <c r="H5" s="1">
        <v>1</v>
      </c>
      <c r="S5" t="e">
        <f>INDEX(PT_DIFFERENTIATION_NUM_IST_TE,MATCH(D5,PT_DIFFERENTIATION_IST_TE_ID,0))</f>
        <v>#N/A</v>
      </c>
      <c r="T5" t="s">
        <v>519</v>
      </c>
      <c r="V5" s="1"/>
      <c r="W5" s="1"/>
      <c r="X5" s="1"/>
      <c r="Y5" s="1"/>
      <c r="Z5" s="1"/>
      <c r="AA5" s="1"/>
      <c r="AB5" s="1" t="e">
        <f>INDEX(PT_DIFFERENTIATION_IST_TE,MATCH(D5,PT_DIFFERENTIATION_IST_TE_ID,0))</f>
        <v>#N/A</v>
      </c>
      <c r="AC5" s="1"/>
      <c r="AD5" s="1"/>
      <c r="AE5" s="1"/>
      <c r="AF5" s="1"/>
      <c r="AG5" s="1"/>
      <c r="AH5" s="1"/>
      <c r="AI5" s="1"/>
      <c r="AJ5" s="1"/>
      <c r="AK5" s="1"/>
      <c r="AL5" s="1"/>
      <c r="AM5" s="1"/>
      <c r="AN5" s="1"/>
      <c r="AO5" s="1"/>
      <c r="AP5" s="1"/>
      <c r="AQ5" s="1"/>
      <c r="AR5" s="1"/>
      <c r="AS5" s="1"/>
      <c r="AT5" s="1"/>
      <c r="AU5" t="s">
        <v>520</v>
      </c>
      <c r="AX5" t="str">
        <f t="shared" si="0"/>
        <v xml:space="preserve">Источник тепловой энергии  </v>
      </c>
      <c r="BA5">
        <v>0</v>
      </c>
    </row>
    <row r="6" spans="5:53" ht="0.75" hidden="1" customHeight="1" x14ac:dyDescent="0.15">
      <c r="E6" s="1"/>
      <c r="F6" s="1"/>
      <c r="G6" s="1"/>
      <c r="H6" s="1"/>
      <c r="I6" s="1" t="e">
        <f>S5&amp;".1"</f>
        <v>#N/A</v>
      </c>
      <c r="L6" t="s">
        <v>521</v>
      </c>
      <c r="P6" s="1">
        <v>1</v>
      </c>
      <c r="V6" s="1"/>
      <c r="W6" s="1"/>
      <c r="X6" s="1"/>
      <c r="Y6" s="1"/>
      <c r="Z6" s="1"/>
      <c r="AA6" s="1"/>
      <c r="AB6" s="1"/>
      <c r="AC6" s="1"/>
      <c r="AD6" s="1"/>
      <c r="AE6" s="1"/>
      <c r="AF6" s="1"/>
      <c r="AG6" s="1"/>
      <c r="AH6" s="1"/>
      <c r="AI6" s="1"/>
      <c r="AJ6" s="1"/>
      <c r="AK6" s="1"/>
      <c r="AL6" s="1"/>
      <c r="AM6" s="1"/>
      <c r="AN6" s="1"/>
      <c r="AO6" s="1"/>
      <c r="AP6" s="1"/>
      <c r="AQ6" s="1"/>
      <c r="AR6" s="1"/>
      <c r="AS6" s="1"/>
      <c r="AT6" s="1"/>
      <c r="AX6" t="str">
        <f t="shared" si="0"/>
        <v/>
      </c>
      <c r="BA6">
        <v>0</v>
      </c>
    </row>
    <row r="7" spans="5:53" ht="0.75" hidden="1" customHeight="1" x14ac:dyDescent="0.15">
      <c r="E7" s="1"/>
      <c r="F7" s="1"/>
      <c r="G7" s="1"/>
      <c r="H7" s="1"/>
      <c r="I7" s="1"/>
      <c r="J7" s="1" t="e">
        <f>S5&amp;".1"</f>
        <v>#N/A</v>
      </c>
      <c r="P7" s="1"/>
      <c r="Q7" s="1">
        <v>1</v>
      </c>
      <c r="V7" s="1"/>
      <c r="W7" s="1"/>
      <c r="X7" s="1"/>
      <c r="Y7" s="1"/>
      <c r="Z7" s="1"/>
      <c r="AA7" s="1"/>
      <c r="AB7" s="1"/>
      <c r="AC7" s="1"/>
      <c r="AD7" s="1"/>
      <c r="AE7" s="1"/>
      <c r="AF7" s="1"/>
      <c r="AG7" s="1"/>
      <c r="AH7" s="1"/>
      <c r="AI7" s="1"/>
      <c r="AJ7" s="1"/>
      <c r="AK7" s="1"/>
      <c r="AL7" s="1"/>
      <c r="AM7" s="1"/>
      <c r="AN7" s="1"/>
      <c r="AO7" s="1"/>
      <c r="AP7" s="1"/>
      <c r="AQ7" s="1"/>
      <c r="AR7" s="1"/>
      <c r="AS7" s="1"/>
      <c r="AT7" s="1"/>
      <c r="AX7" t="str">
        <f t="shared" si="0"/>
        <v/>
      </c>
      <c r="BA7">
        <v>0</v>
      </c>
    </row>
    <row r="8" spans="5:53" ht="21" hidden="1" customHeight="1" x14ac:dyDescent="0.15">
      <c r="E8" s="1"/>
      <c r="F8" s="1"/>
      <c r="G8" s="1"/>
      <c r="H8" s="1"/>
      <c r="I8" s="1"/>
      <c r="J8" s="1"/>
      <c r="K8" s="1" t="e">
        <f>S5&amp;".1"</f>
        <v>#N/A</v>
      </c>
      <c r="P8" s="1"/>
      <c r="Q8" s="1"/>
      <c r="R8" s="1">
        <v>1</v>
      </c>
      <c r="S8" s="1" t="e">
        <f>$K8</f>
        <v>#N/A</v>
      </c>
      <c r="T8" s="1"/>
      <c r="X8" s="1"/>
      <c r="Y8" s="1" t="s">
        <v>63</v>
      </c>
      <c r="Z8" s="1"/>
      <c r="AA8" s="1" t="s">
        <v>63</v>
      </c>
      <c r="AB8" s="1" t="s">
        <v>19</v>
      </c>
      <c r="AC8" s="1"/>
      <c r="AD8" s="1">
        <v>1</v>
      </c>
      <c r="AE8" s="1"/>
      <c r="AF8" s="1" t="s">
        <v>19</v>
      </c>
      <c r="AG8" s="1"/>
      <c r="AH8" s="1">
        <v>1</v>
      </c>
      <c r="AI8" s="1"/>
      <c r="AJ8" s="1" t="s">
        <v>19</v>
      </c>
      <c r="AL8">
        <v>1</v>
      </c>
      <c r="AQ8" t="s">
        <v>63</v>
      </c>
      <c r="AS8" t="s">
        <v>63</v>
      </c>
      <c r="AU8" s="1" t="s">
        <v>579</v>
      </c>
      <c r="AV8" t="e">
        <f ca="1">STRCHECKDATE(V11:AT11)</f>
        <v>#NAME?</v>
      </c>
      <c r="AX8" t="str">
        <f t="shared" si="0"/>
        <v/>
      </c>
      <c r="BA8">
        <v>0</v>
      </c>
    </row>
    <row r="9" spans="5:53" ht="11.25" hidden="1" customHeight="1" x14ac:dyDescent="0.15">
      <c r="E9" s="1"/>
      <c r="F9" s="1"/>
      <c r="G9" s="1"/>
      <c r="H9" s="1"/>
      <c r="I9" s="1"/>
      <c r="J9" s="1"/>
      <c r="K9" s="1"/>
      <c r="P9" s="1"/>
      <c r="Q9" s="1"/>
      <c r="R9" s="1"/>
      <c r="S9" s="1"/>
      <c r="T9" s="1"/>
      <c r="X9" s="1"/>
      <c r="Y9" s="1"/>
      <c r="Z9" s="1"/>
      <c r="AA9" s="1"/>
      <c r="AB9" s="1"/>
      <c r="AC9" s="1"/>
      <c r="AD9" s="1"/>
      <c r="AE9" s="1"/>
      <c r="AF9" s="1"/>
      <c r="AG9" s="1"/>
      <c r="AH9" s="1"/>
      <c r="AI9" s="1"/>
      <c r="AJ9" s="1"/>
      <c r="AM9" t="s">
        <v>580</v>
      </c>
      <c r="AU9" s="1"/>
      <c r="BA9">
        <v>0</v>
      </c>
    </row>
    <row r="10" spans="5:53" ht="11.25" hidden="1" customHeight="1" x14ac:dyDescent="0.15">
      <c r="E10" s="1"/>
      <c r="F10" s="1"/>
      <c r="G10" s="1"/>
      <c r="H10" s="1"/>
      <c r="I10" s="1"/>
      <c r="J10" s="1"/>
      <c r="K10" s="1"/>
      <c r="P10" s="1"/>
      <c r="Q10" s="1"/>
      <c r="R10" s="1"/>
      <c r="S10" s="1"/>
      <c r="T10" s="1"/>
      <c r="X10" s="1"/>
      <c r="Y10" s="1"/>
      <c r="Z10" s="1"/>
      <c r="AA10" s="1"/>
      <c r="AB10" s="1"/>
      <c r="AC10" s="1"/>
      <c r="AD10" s="1"/>
      <c r="AE10" s="1"/>
      <c r="AF10" s="1"/>
      <c r="AI10" t="s">
        <v>581</v>
      </c>
      <c r="AU10" s="1"/>
      <c r="BA10">
        <v>0</v>
      </c>
    </row>
    <row r="11" spans="5:53" ht="11.25" hidden="1" customHeight="1" x14ac:dyDescent="0.15">
      <c r="E11" s="1"/>
      <c r="F11" s="1"/>
      <c r="G11" s="1"/>
      <c r="H11" s="1"/>
      <c r="I11" s="1"/>
      <c r="J11" s="1"/>
      <c r="K11" s="1"/>
      <c r="P11" s="1"/>
      <c r="Q11" s="1"/>
      <c r="R11" s="1"/>
      <c r="S11" s="1"/>
      <c r="T11" s="1"/>
      <c r="W11" t="str">
        <f>X8&amp;"-"&amp;Z8</f>
        <v>-</v>
      </c>
      <c r="X11" s="1"/>
      <c r="Y11" s="1"/>
      <c r="Z11" s="1"/>
      <c r="AA11" s="1"/>
      <c r="AB11" s="1"/>
      <c r="AE11" t="s">
        <v>582</v>
      </c>
      <c r="AO11" t="str">
        <f>AP8&amp;"-"&amp;AR8</f>
        <v>-</v>
      </c>
      <c r="AU11" s="1"/>
      <c r="AX11" t="str">
        <f t="shared" ref="AX11:AX17" si="1">IF(T11="","",T11)</f>
        <v/>
      </c>
      <c r="BA11">
        <v>0</v>
      </c>
    </row>
    <row r="12" spans="5:53" ht="11.25" hidden="1" customHeight="1" x14ac:dyDescent="0.15">
      <c r="E12" s="1"/>
      <c r="F12" s="1"/>
      <c r="G12" s="1"/>
      <c r="H12" s="1"/>
      <c r="I12" s="1"/>
      <c r="J12" s="1"/>
      <c r="P12" s="1"/>
      <c r="Q12" s="1"/>
      <c r="T12" t="s">
        <v>583</v>
      </c>
      <c r="AU12" s="1"/>
      <c r="AX12" t="str">
        <f t="shared" si="1"/>
        <v>Добавить строку</v>
      </c>
      <c r="BA12">
        <v>0</v>
      </c>
    </row>
    <row r="13" spans="5:53" ht="0.75" hidden="1" customHeight="1" x14ac:dyDescent="0.15">
      <c r="E13" s="1"/>
      <c r="F13" s="1"/>
      <c r="G13" s="1"/>
      <c r="H13" s="1"/>
      <c r="I13" s="1"/>
      <c r="P13" s="1"/>
      <c r="AX13" t="str">
        <f t="shared" si="1"/>
        <v/>
      </c>
      <c r="BA13">
        <v>0</v>
      </c>
    </row>
    <row r="14" spans="5:53" ht="0.75" hidden="1" customHeight="1" x14ac:dyDescent="0.15">
      <c r="E14" s="1"/>
      <c r="F14" s="1"/>
      <c r="G14" s="1"/>
      <c r="H14" s="1"/>
      <c r="AX14" t="str">
        <f t="shared" si="1"/>
        <v/>
      </c>
      <c r="BA14">
        <v>0</v>
      </c>
    </row>
    <row r="15" spans="5:53" ht="0.75" hidden="1" customHeight="1" x14ac:dyDescent="0.15">
      <c r="E15" s="1"/>
      <c r="F15" s="1"/>
      <c r="G15" s="1"/>
      <c r="T15" t="s">
        <v>532</v>
      </c>
      <c r="AX15" t="str">
        <f t="shared" si="1"/>
        <v>Добавить источник для дифференциации</v>
      </c>
      <c r="BA15">
        <v>0</v>
      </c>
    </row>
    <row r="16" spans="5:53" ht="0.75" hidden="1" customHeight="1" x14ac:dyDescent="0.15">
      <c r="E16" s="1"/>
      <c r="F16" s="1"/>
      <c r="T16" t="s">
        <v>321</v>
      </c>
      <c r="AX16" t="str">
        <f t="shared" si="1"/>
        <v>Добавить централизованную систему для дифференциации</v>
      </c>
      <c r="BA16">
        <v>0</v>
      </c>
    </row>
    <row r="17" spans="5:53" ht="0.75" hidden="1" customHeight="1" x14ac:dyDescent="0.15">
      <c r="E17" s="1"/>
      <c r="T17" t="s">
        <v>385</v>
      </c>
      <c r="AX17" t="str">
        <f t="shared" si="1"/>
        <v>Добавить территорию для дифференциации</v>
      </c>
      <c r="BA17">
        <v>0</v>
      </c>
    </row>
    <row r="18" spans="5:53" ht="14.25" hidden="1" customHeight="1" x14ac:dyDescent="0.15">
      <c r="BA18">
        <v>0</v>
      </c>
    </row>
    <row r="19" spans="5:53" ht="14.25" hidden="1" customHeight="1" x14ac:dyDescent="0.15">
      <c r="AB19" t="s">
        <v>19</v>
      </c>
      <c r="AD19">
        <v>1</v>
      </c>
      <c r="AF19" t="s">
        <v>19</v>
      </c>
      <c r="AH19">
        <v>1</v>
      </c>
      <c r="AJ19" t="s">
        <v>19</v>
      </c>
      <c r="AL19">
        <v>1</v>
      </c>
      <c r="AQ19" t="s">
        <v>63</v>
      </c>
      <c r="AS19" t="s">
        <v>63</v>
      </c>
      <c r="BA19">
        <v>0</v>
      </c>
    </row>
    <row r="20" spans="5:53" ht="14.25" hidden="1" customHeight="1" x14ac:dyDescent="0.15">
      <c r="BA20">
        <v>0</v>
      </c>
    </row>
    <row r="21" spans="5:53" ht="14.25" hidden="1" customHeight="1" x14ac:dyDescent="0.15">
      <c r="O21" t="s">
        <v>533</v>
      </c>
      <c r="BA21">
        <v>0</v>
      </c>
    </row>
    <row r="22" spans="5:53" ht="14.25" hidden="1" customHeight="1" x14ac:dyDescent="0.15">
      <c r="BA22">
        <v>0</v>
      </c>
    </row>
    <row r="23" spans="5:53" ht="14.25" hidden="1" customHeight="1" x14ac:dyDescent="0.15">
      <c r="O23" t="s">
        <v>534</v>
      </c>
      <c r="Y23" t="s">
        <v>536</v>
      </c>
      <c r="AA23" t="s">
        <v>537</v>
      </c>
      <c r="AB23" t="s">
        <v>584</v>
      </c>
      <c r="AE23" t="s">
        <v>585</v>
      </c>
      <c r="AF23" t="s">
        <v>584</v>
      </c>
      <c r="AI23" t="s">
        <v>586</v>
      </c>
      <c r="AJ23" t="s">
        <v>584</v>
      </c>
      <c r="AM23" t="s">
        <v>587</v>
      </c>
      <c r="AQ23" t="s">
        <v>536</v>
      </c>
      <c r="AS23" t="s">
        <v>537</v>
      </c>
      <c r="BA23">
        <v>0</v>
      </c>
    </row>
    <row r="24" spans="5:53" ht="14.25" hidden="1" customHeight="1" x14ac:dyDescent="0.15">
      <c r="BA24">
        <v>0</v>
      </c>
    </row>
    <row r="25" spans="5:53" ht="14.25" hidden="1" customHeight="1" x14ac:dyDescent="0.15">
      <c r="BA25">
        <v>0</v>
      </c>
    </row>
    <row r="26" spans="5:53" ht="14.65" customHeight="1" x14ac:dyDescent="0.15">
      <c r="BA26">
        <v>14</v>
      </c>
    </row>
    <row r="27" spans="5:53" ht="27.4" customHeight="1" x14ac:dyDescent="0.15">
      <c r="S27" s="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
      <c r="U27" s="1"/>
      <c r="V27" s="1"/>
      <c r="W27" s="1"/>
      <c r="X27" s="1"/>
      <c r="Y27" s="1"/>
      <c r="Z27" s="1"/>
      <c r="AA27" s="1"/>
      <c r="AB27" s="1"/>
      <c r="AC27" s="1"/>
      <c r="AD27" s="1"/>
      <c r="AE27" s="1"/>
      <c r="AF27" s="1"/>
      <c r="AG27" s="1"/>
      <c r="AH27" s="1"/>
      <c r="AI27" s="1"/>
      <c r="AJ27" s="1"/>
      <c r="AK27" s="1"/>
      <c r="AL27" s="1"/>
      <c r="AM27" s="1"/>
      <c r="AN27" s="1"/>
      <c r="AO27" s="1"/>
      <c r="AP27" s="1"/>
      <c r="AQ27" s="1"/>
      <c r="AR27" s="1"/>
      <c r="BA27">
        <v>26</v>
      </c>
    </row>
    <row r="28" spans="5:53" ht="14.65" customHeight="1" x14ac:dyDescent="0.15">
      <c r="S28" s="1" t="str">
        <f>IF(org=0,"Не определено",org)</f>
        <v>КГУП "Примтеплоэнерго"</v>
      </c>
      <c r="T28" s="1"/>
      <c r="U28" s="1"/>
      <c r="V28" s="1"/>
      <c r="W28" s="1"/>
      <c r="X28" s="1"/>
      <c r="Y28" s="1"/>
      <c r="Z28" s="1"/>
      <c r="AA28" s="1"/>
      <c r="AB28" s="1"/>
      <c r="AC28" s="1"/>
      <c r="AD28" s="1"/>
      <c r="AE28" s="1"/>
      <c r="AF28" s="1"/>
      <c r="AG28" s="1"/>
      <c r="AH28" s="1"/>
      <c r="AI28" s="1"/>
      <c r="AJ28" s="1"/>
      <c r="AK28" s="1"/>
      <c r="AL28" s="1"/>
      <c r="AM28" s="1"/>
      <c r="AN28" s="1"/>
      <c r="AO28" s="1"/>
      <c r="AP28" s="1"/>
      <c r="AQ28" s="1"/>
      <c r="AR28" s="1"/>
      <c r="BA28">
        <v>14</v>
      </c>
    </row>
    <row r="29" spans="5:53" ht="14.25" customHeight="1" x14ac:dyDescent="0.15">
      <c r="BA29">
        <v>0</v>
      </c>
    </row>
    <row r="30" spans="5:53" ht="25.5" customHeight="1" x14ac:dyDescent="0.15">
      <c r="S30" s="1" t="s">
        <v>42</v>
      </c>
      <c r="T30" s="1"/>
      <c r="V30" s="1" t="str">
        <f>IF(TITLE_NAME_OR_PR_CHANGE="",IF(TITLE_NAME_OR_PR="","",TITLE_NAME_OR_PR),TITLE_NAME_OR_PR_CHANGE)</f>
        <v>Агентство по тарифам Приморского края</v>
      </c>
      <c r="W30" s="1"/>
      <c r="X30" s="1"/>
      <c r="Y30" s="1"/>
      <c r="Z30" s="1"/>
      <c r="AB30" s="1" t="str">
        <f>IF(TITLE_NAME_OR_PR_CHANGE="",IF(TITLE_NAME_OR_PR="","",TITLE_NAME_OR_PR),TITLE_NAME_OR_PR_CHANGE)</f>
        <v>Агентство по тарифам Приморского края</v>
      </c>
      <c r="AC30" s="1"/>
      <c r="AD30" s="1"/>
      <c r="AE30" s="1"/>
      <c r="AF30" s="1"/>
      <c r="AG30" s="1"/>
      <c r="AH30" s="1"/>
      <c r="AI30" s="1"/>
      <c r="AJ30" s="1"/>
      <c r="AK30" s="1"/>
      <c r="AL30" s="1"/>
      <c r="AM30" s="1"/>
      <c r="AN30" s="1"/>
      <c r="AO30" s="1"/>
      <c r="AP30" s="1"/>
      <c r="AQ30" s="1"/>
      <c r="AR30" s="1"/>
      <c r="BA30">
        <v>0</v>
      </c>
    </row>
    <row r="31" spans="5:53" ht="18.75" customHeight="1" x14ac:dyDescent="0.15">
      <c r="S31" s="1" t="s">
        <v>539</v>
      </c>
      <c r="T31" s="1"/>
      <c r="V31" s="1">
        <f>IF(TITLE_DATE_PR_CHANGE="",IF(TITLE_DATE_PR="","",TITLE_DATE_PR),TITLE_DATE_PR_CHANGE)</f>
        <v>45653.495844907404</v>
      </c>
      <c r="W31" s="1"/>
      <c r="X31" s="1"/>
      <c r="Y31" s="1"/>
      <c r="Z31" s="1"/>
      <c r="AB31" s="1">
        <f>IF(TITLE_DATE_PR_CHANGE="",IF(TITLE_DATE_PR="","",TITLE_DATE_PR),TITLE_DATE_PR_CHANGE)</f>
        <v>45653.495844907404</v>
      </c>
      <c r="AC31" s="1"/>
      <c r="AD31" s="1"/>
      <c r="AE31" s="1"/>
      <c r="AF31" s="1"/>
      <c r="AG31" s="1"/>
      <c r="AH31" s="1"/>
      <c r="AI31" s="1"/>
      <c r="AJ31" s="1"/>
      <c r="AK31" s="1"/>
      <c r="AL31" s="1"/>
      <c r="AM31" s="1"/>
      <c r="AN31" s="1"/>
      <c r="AO31" s="1"/>
      <c r="AP31" s="1"/>
      <c r="AQ31" s="1"/>
      <c r="AR31" s="1"/>
      <c r="BA31">
        <v>0</v>
      </c>
    </row>
    <row r="32" spans="5:53" ht="18.75" customHeight="1" x14ac:dyDescent="0.15">
      <c r="S32" s="1" t="s">
        <v>540</v>
      </c>
      <c r="T32" s="1"/>
      <c r="V32" s="1" t="str">
        <f>IF(TITLE_NUMBER_PR_CHANGE="",IF(TITLE_NUMBER_PR="","",TITLE_NUMBER_PR),TITLE_NUMBER_PR_CHANGE)</f>
        <v>63/2</v>
      </c>
      <c r="W32" s="1"/>
      <c r="X32" s="1"/>
      <c r="Y32" s="1"/>
      <c r="Z32" s="1"/>
      <c r="AB32" s="1" t="str">
        <f>IF(TITLE_NUMBER_PR_CHANGE="",IF(TITLE_NUMBER_PR="","",TITLE_NUMBER_PR),TITLE_NUMBER_PR_CHANGE)</f>
        <v>63/2</v>
      </c>
      <c r="AC32" s="1"/>
      <c r="AD32" s="1"/>
      <c r="AE32" s="1"/>
      <c r="AF32" s="1"/>
      <c r="AG32" s="1"/>
      <c r="AH32" s="1"/>
      <c r="AI32" s="1"/>
      <c r="AJ32" s="1"/>
      <c r="AK32" s="1"/>
      <c r="AL32" s="1"/>
      <c r="AM32" s="1"/>
      <c r="AN32" s="1"/>
      <c r="AO32" s="1"/>
      <c r="AP32" s="1"/>
      <c r="AQ32" s="1"/>
      <c r="AR32" s="1"/>
      <c r="BA32">
        <v>0</v>
      </c>
    </row>
    <row r="33" spans="1:53" ht="18.75" customHeight="1" x14ac:dyDescent="0.15">
      <c r="S33" s="1" t="s">
        <v>44</v>
      </c>
      <c r="T33" s="1"/>
      <c r="V33" s="1" t="str">
        <f>IF(TITLE_IST_PUB_CHANGE="",IF(TITLE_IST_PUB="","",TITLE_IST_PUB),TITLE_IST_PUB_CHANGE)</f>
        <v>http://pravo.gov.ru</v>
      </c>
      <c r="W33" s="1"/>
      <c r="X33" s="1"/>
      <c r="Y33" s="1"/>
      <c r="Z33" s="1"/>
      <c r="AB33" s="1" t="str">
        <f>IF(TITLE_IST_PUB_CHANGE="",IF(TITLE_IST_PUB="","",TITLE_IST_PUB),TITLE_IST_PUB_CHANGE)</f>
        <v>http://pravo.gov.ru</v>
      </c>
      <c r="AC33" s="1"/>
      <c r="AD33" s="1"/>
      <c r="AE33" s="1"/>
      <c r="AF33" s="1"/>
      <c r="AG33" s="1"/>
      <c r="AH33" s="1"/>
      <c r="AI33" s="1"/>
      <c r="AJ33" s="1"/>
      <c r="AK33" s="1"/>
      <c r="AL33" s="1"/>
      <c r="AM33" s="1"/>
      <c r="AN33" s="1"/>
      <c r="AO33" s="1"/>
      <c r="AP33" s="1"/>
      <c r="AQ33" s="1"/>
      <c r="AR33" s="1"/>
      <c r="BA33">
        <v>0</v>
      </c>
    </row>
    <row r="34" spans="1:53" ht="14.25" hidden="1" customHeight="1" x14ac:dyDescent="0.15">
      <c r="BA34">
        <v>0</v>
      </c>
    </row>
    <row r="35" spans="1:53" ht="18.75" hidden="1" customHeight="1" x14ac:dyDescent="0.15">
      <c r="S35" s="1" t="s">
        <v>539</v>
      </c>
      <c r="T35" s="1"/>
      <c r="V35" s="1">
        <f>IF(TITLE_DATE_PR_CHANGE="",IF(TITLE_DATE_PR="","",TITLE_DATE_PR),TITLE_DATE_PR_CHANGE)</f>
        <v>45653.495844907404</v>
      </c>
      <c r="W35" s="1"/>
      <c r="X35" s="1"/>
      <c r="Y35" s="1"/>
      <c r="Z35" s="1"/>
      <c r="AB35" s="1">
        <f>IF(TITLE_DATE_PR_CHANGE="",IF(TITLE_DATE_PR="","",TITLE_DATE_PR),TITLE_DATE_PR_CHANGE)</f>
        <v>45653.495844907404</v>
      </c>
      <c r="AC35" s="1"/>
      <c r="AD35" s="1"/>
      <c r="AE35" s="1"/>
      <c r="AF35" s="1"/>
      <c r="AG35" s="1"/>
      <c r="AH35" s="1"/>
      <c r="AI35" s="1"/>
      <c r="AJ35" s="1"/>
      <c r="AK35" s="1"/>
      <c r="AL35" s="1"/>
      <c r="AM35" s="1"/>
      <c r="AN35" s="1"/>
      <c r="AO35" s="1"/>
      <c r="AP35" s="1"/>
      <c r="AQ35" s="1"/>
      <c r="AR35" s="1"/>
      <c r="BA35">
        <v>0</v>
      </c>
    </row>
    <row r="36" spans="1:53" ht="18" hidden="1" customHeight="1" x14ac:dyDescent="0.15">
      <c r="S36" s="1" t="s">
        <v>540</v>
      </c>
      <c r="T36" s="1"/>
      <c r="V36" s="1" t="str">
        <f>IF(TITLE_NUMBER_PR_CHANGE="",IF(TITLE_NUMBER_PR="","",TITLE_NUMBER_PR),TITLE_NUMBER_PR_CHANGE)</f>
        <v>63/2</v>
      </c>
      <c r="W36" s="1"/>
      <c r="X36" s="1"/>
      <c r="Y36" s="1"/>
      <c r="Z36" s="1"/>
      <c r="AB36" s="1" t="str">
        <f>IF(TITLE_NUMBER_PR_CHANGE="",IF(TITLE_NUMBER_PR="","",TITLE_NUMBER_PR),TITLE_NUMBER_PR_CHANGE)</f>
        <v>63/2</v>
      </c>
      <c r="AC36" s="1"/>
      <c r="AD36" s="1"/>
      <c r="AE36" s="1"/>
      <c r="AF36" s="1"/>
      <c r="AG36" s="1"/>
      <c r="AH36" s="1"/>
      <c r="AI36" s="1"/>
      <c r="AJ36" s="1"/>
      <c r="AK36" s="1"/>
      <c r="AL36" s="1"/>
      <c r="AM36" s="1"/>
      <c r="AN36" s="1"/>
      <c r="AO36" s="1"/>
      <c r="AP36" s="1"/>
      <c r="AQ36" s="1"/>
      <c r="AR36" s="1"/>
      <c r="BA36">
        <v>0</v>
      </c>
    </row>
    <row r="37" spans="1:53" ht="1.1499999999999999" customHeight="1" x14ac:dyDescent="0.15">
      <c r="AA37" t="s">
        <v>543</v>
      </c>
      <c r="AS37" t="s">
        <v>543</v>
      </c>
      <c r="BA37">
        <v>1</v>
      </c>
    </row>
    <row r="38" spans="1:53" ht="14.65" customHeight="1" x14ac:dyDescent="0.15">
      <c r="V38" s="1"/>
      <c r="W38" s="1"/>
      <c r="X38" s="1"/>
      <c r="Y38" s="1"/>
      <c r="Z38" s="1"/>
      <c r="AA38" s="1"/>
      <c r="AB38" s="1"/>
      <c r="AC38" s="1"/>
      <c r="AD38" s="1"/>
      <c r="AE38" s="1"/>
      <c r="AF38" s="1"/>
      <c r="AG38" s="1"/>
      <c r="AH38" s="1"/>
      <c r="AI38" s="1"/>
      <c r="AJ38" s="1"/>
      <c r="AK38" s="1"/>
      <c r="AL38" s="1"/>
      <c r="AM38" s="1"/>
      <c r="AN38" s="1"/>
      <c r="AO38" s="1"/>
      <c r="AP38" s="1"/>
      <c r="AQ38" s="1"/>
      <c r="AR38" s="1"/>
      <c r="AS38" s="1"/>
      <c r="BA38">
        <v>14</v>
      </c>
    </row>
    <row r="39" spans="1:53" ht="14.65" customHeight="1" x14ac:dyDescent="0.15">
      <c r="S39" s="1" t="s">
        <v>418</v>
      </c>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t="s">
        <v>419</v>
      </c>
      <c r="BA39">
        <v>14</v>
      </c>
    </row>
    <row r="40" spans="1:53" ht="14.65" customHeight="1" x14ac:dyDescent="0.15">
      <c r="S40" s="1" t="s">
        <v>90</v>
      </c>
      <c r="T40" s="1" t="s">
        <v>588</v>
      </c>
      <c r="V40" s="1"/>
      <c r="W40" s="1"/>
      <c r="X40" s="1"/>
      <c r="Y40" s="1"/>
      <c r="Z40" s="1"/>
      <c r="AA40" s="1" t="s">
        <v>546</v>
      </c>
      <c r="AB40" s="1" t="s">
        <v>589</v>
      </c>
      <c r="AC40" s="1"/>
      <c r="AD40" s="1"/>
      <c r="AE40" s="1"/>
      <c r="AF40" s="1" t="s">
        <v>590</v>
      </c>
      <c r="AG40" s="1"/>
      <c r="AH40" s="1"/>
      <c r="AI40" s="1"/>
      <c r="AJ40" s="1" t="s">
        <v>591</v>
      </c>
      <c r="AK40" s="1"/>
      <c r="AL40" s="1"/>
      <c r="AM40" s="1"/>
      <c r="AN40" s="1" t="s">
        <v>545</v>
      </c>
      <c r="AO40" s="1"/>
      <c r="AP40" s="1"/>
      <c r="AQ40" s="1"/>
      <c r="AR40" s="1"/>
      <c r="AS40" s="1" t="s">
        <v>546</v>
      </c>
      <c r="AT40" s="1" t="s">
        <v>548</v>
      </c>
      <c r="AU40" s="1"/>
      <c r="BA40">
        <v>14</v>
      </c>
    </row>
    <row r="41" spans="1:53" ht="35.65" customHeight="1" x14ac:dyDescent="0.15">
      <c r="S41" s="1"/>
      <c r="T41" s="1"/>
      <c r="V41" s="1" t="s">
        <v>592</v>
      </c>
      <c r="W41" s="1"/>
      <c r="X41" s="1" t="s">
        <v>552</v>
      </c>
      <c r="Y41" s="1"/>
      <c r="Z41" s="1"/>
      <c r="AA41" s="1"/>
      <c r="AB41" s="1"/>
      <c r="AC41" s="1"/>
      <c r="AD41" s="1"/>
      <c r="AE41" s="1"/>
      <c r="AF41" s="1"/>
      <c r="AG41" s="1"/>
      <c r="AH41" s="1"/>
      <c r="AI41" s="1"/>
      <c r="AJ41" s="1"/>
      <c r="AK41" s="1"/>
      <c r="AL41" s="1"/>
      <c r="AM41" s="1"/>
      <c r="AN41" s="1" t="s">
        <v>592</v>
      </c>
      <c r="AO41" s="1"/>
      <c r="AP41" s="1" t="s">
        <v>552</v>
      </c>
      <c r="AQ41" s="1"/>
      <c r="AR41" s="1"/>
      <c r="AS41" s="1"/>
      <c r="AT41" s="1"/>
      <c r="AU41" s="1"/>
      <c r="BA41">
        <v>34</v>
      </c>
    </row>
    <row r="42" spans="1:53" ht="14.65" customHeight="1" x14ac:dyDescent="0.15">
      <c r="S42" s="1"/>
      <c r="T42" s="1"/>
      <c r="V42" s="1" t="str">
        <f>IF($AN$42&lt;&gt;"",$AN$42,"")</f>
        <v/>
      </c>
      <c r="W42" s="1"/>
      <c r="X42" s="1"/>
      <c r="Y42" s="1"/>
      <c r="Z42" s="1"/>
      <c r="AA42" s="1"/>
      <c r="AB42" s="1"/>
      <c r="AC42" s="1"/>
      <c r="AD42" s="1"/>
      <c r="AE42" s="1"/>
      <c r="AF42" s="1"/>
      <c r="AG42" s="1"/>
      <c r="AH42" s="1"/>
      <c r="AI42" s="1"/>
      <c r="AJ42" s="1"/>
      <c r="AK42" s="1"/>
      <c r="AL42" s="1"/>
      <c r="AM42" s="1"/>
      <c r="AN42" s="1"/>
      <c r="AO42" s="1"/>
      <c r="AP42" s="1"/>
      <c r="AQ42" s="1"/>
      <c r="AR42" s="1"/>
      <c r="AS42" s="1"/>
      <c r="AT42" s="1"/>
      <c r="AU42" s="1"/>
      <c r="BA42">
        <v>14</v>
      </c>
    </row>
    <row r="43" spans="1:53" ht="14.65" customHeight="1" x14ac:dyDescent="0.15">
      <c r="B43" t="s">
        <v>191</v>
      </c>
      <c r="C43" t="s">
        <v>192</v>
      </c>
      <c r="D43" t="s">
        <v>193</v>
      </c>
      <c r="E43" t="s">
        <v>553</v>
      </c>
      <c r="F43" t="s">
        <v>554</v>
      </c>
      <c r="G43" t="s">
        <v>555</v>
      </c>
      <c r="H43" t="s">
        <v>556</v>
      </c>
      <c r="I43" t="s">
        <v>557</v>
      </c>
      <c r="J43" t="s">
        <v>558</v>
      </c>
      <c r="K43" t="s">
        <v>559</v>
      </c>
      <c r="L43" t="s">
        <v>534</v>
      </c>
      <c r="S43" s="1"/>
      <c r="T43" s="1"/>
      <c r="V43" t="s">
        <v>593</v>
      </c>
      <c r="W43" t="s">
        <v>594</v>
      </c>
      <c r="X43" t="s">
        <v>562</v>
      </c>
      <c r="Y43" s="1" t="s">
        <v>563</v>
      </c>
      <c r="Z43" s="1"/>
      <c r="AA43" s="1"/>
      <c r="AB43" s="1"/>
      <c r="AC43" s="1"/>
      <c r="AD43" s="1"/>
      <c r="AE43" s="1"/>
      <c r="AF43" s="1"/>
      <c r="AG43" s="1"/>
      <c r="AH43" s="1"/>
      <c r="AI43" s="1"/>
      <c r="AJ43" s="1"/>
      <c r="AK43" s="1"/>
      <c r="AL43" s="1"/>
      <c r="AM43" s="1"/>
      <c r="AN43" t="s">
        <v>593</v>
      </c>
      <c r="AO43" t="s">
        <v>594</v>
      </c>
      <c r="AP43" t="s">
        <v>562</v>
      </c>
      <c r="AQ43" s="1" t="s">
        <v>563</v>
      </c>
      <c r="AR43" s="1"/>
      <c r="AS43" s="1"/>
      <c r="AT43" s="1"/>
      <c r="AU43" s="1"/>
      <c r="BA43">
        <v>14</v>
      </c>
    </row>
    <row r="44" spans="1:53" ht="11.25" hidden="1" customHeight="1" x14ac:dyDescent="0.15">
      <c r="R44">
        <v>1</v>
      </c>
      <c r="S44" t="s">
        <v>101</v>
      </c>
      <c r="T44" t="s">
        <v>105</v>
      </c>
      <c r="U44" t="str">
        <f ca="1">OFFSET(U44,0,-1)</f>
        <v>2</v>
      </c>
      <c r="V44">
        <f ca="1">OFFSET(V44,0,-1)+1</f>
        <v>3</v>
      </c>
      <c r="W44">
        <f ca="1">OFFSET(W44,0,-1)+1</f>
        <v>4</v>
      </c>
      <c r="X44">
        <f ca="1">OFFSET(X44,0,-1)+1</f>
        <v>5</v>
      </c>
      <c r="Y44" s="1">
        <f ca="1">OFFSET(Y44,0,-1)+1</f>
        <v>6</v>
      </c>
      <c r="Z44" s="1"/>
      <c r="AA44">
        <f ca="1">OFFSET(AA44,0,-2)+1</f>
        <v>7</v>
      </c>
      <c r="AB44">
        <f ca="1">OFFSET(AB44,0,-1)+1</f>
        <v>8</v>
      </c>
      <c r="AN44">
        <f ca="1">OFFSET(AN44,0,-1)+1</f>
        <v>1</v>
      </c>
      <c r="AO44">
        <f ca="1">OFFSET(AO44,0,-1)+1</f>
        <v>2</v>
      </c>
      <c r="AP44">
        <f ca="1">OFFSET(AP44,0,-1)+1</f>
        <v>3</v>
      </c>
      <c r="AQ44" s="1">
        <f ca="1">OFFSET(AQ44,0,-1)+1</f>
        <v>4</v>
      </c>
      <c r="AR44" s="1"/>
      <c r="AS44">
        <f ca="1">OFFSET(AS44,0,-2)+1</f>
        <v>5</v>
      </c>
      <c r="AT44">
        <f ca="1">OFFSET(AT44,0,-1)</f>
        <v>5</v>
      </c>
      <c r="AU44">
        <f ca="1">OFFSET(AU44,0,-1)+1</f>
        <v>6</v>
      </c>
      <c r="BA44">
        <v>0</v>
      </c>
    </row>
    <row r="45" spans="1:53" ht="107.25" customHeight="1" x14ac:dyDescent="0.15">
      <c r="A45" t="s">
        <v>249</v>
      </c>
      <c r="E45" s="1">
        <v>1</v>
      </c>
      <c r="S45">
        <f>INDEX(PT_DIFFERENTIATION_NUM_NTAR,MATCH(A45,PT_DIFFERENTIATION_NTAR_ID,0))</f>
        <v>0</v>
      </c>
      <c r="T45" t="s">
        <v>179</v>
      </c>
      <c r="V45" s="1"/>
      <c r="W45" s="1"/>
      <c r="X45" s="1"/>
      <c r="Y45" s="1"/>
      <c r="Z45" s="1"/>
      <c r="AA45" s="1"/>
      <c r="AB45" s="1" t="str">
        <f>INDEX(PT_DIFFERENTIATION_NTAR,MATCH(A45,PT_DIFFERENTIATION_NTAR_ID,0))</f>
        <v/>
      </c>
      <c r="AC45" s="1"/>
      <c r="AD45" s="1"/>
      <c r="AE45" s="1"/>
      <c r="AF45" s="1"/>
      <c r="AG45" s="1"/>
      <c r="AH45" s="1"/>
      <c r="AI45" s="1"/>
      <c r="AJ45" s="1"/>
      <c r="AK45" s="1"/>
      <c r="AL45" s="1"/>
      <c r="AM45" s="1"/>
      <c r="AN45" s="1"/>
      <c r="AO45" s="1"/>
      <c r="AP45" s="1"/>
      <c r="AQ45" s="1"/>
      <c r="AR45" s="1"/>
      <c r="AS45" s="1"/>
      <c r="AT45" s="1"/>
      <c r="AU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X45" t="str">
        <f t="shared" ref="AX45:AX51" si="2">IF(T45="","",T45)</f>
        <v>Наименование тарифа</v>
      </c>
      <c r="BA45">
        <v>102</v>
      </c>
    </row>
    <row r="46" spans="1:53" ht="21.95" customHeight="1" x14ac:dyDescent="0.15">
      <c r="A46" t="s">
        <v>249</v>
      </c>
      <c r="B46" t="s">
        <v>250</v>
      </c>
      <c r="E46" s="1"/>
      <c r="F46" s="1">
        <v>1</v>
      </c>
      <c r="S46" t="str">
        <f>INDEX(PT_DIFFERENTIATION_NUM_TER,MATCH(B46,PT_DIFFERENTIATION_TER_ID,0))</f>
        <v>.</v>
      </c>
      <c r="T46" t="s">
        <v>515</v>
      </c>
      <c r="V46" s="1"/>
      <c r="W46" s="1"/>
      <c r="X46" s="1"/>
      <c r="Y46" s="1"/>
      <c r="Z46" s="1"/>
      <c r="AA46" s="1"/>
      <c r="AB46" s="1" t="str">
        <f>INDEX(PT_DIFFERENTIATION_TER,MATCH(B46,PT_DIFFERENTIATION_TER_ID,0))</f>
        <v/>
      </c>
      <c r="AC46" s="1"/>
      <c r="AD46" s="1"/>
      <c r="AE46" s="1"/>
      <c r="AF46" s="1"/>
      <c r="AG46" s="1"/>
      <c r="AH46" s="1"/>
      <c r="AI46" s="1"/>
      <c r="AJ46" s="1"/>
      <c r="AK46" s="1"/>
      <c r="AL46" s="1"/>
      <c r="AM46" s="1"/>
      <c r="AN46" s="1"/>
      <c r="AO46" s="1"/>
      <c r="AP46" s="1"/>
      <c r="AQ46" s="1"/>
      <c r="AR46" s="1"/>
      <c r="AS46" s="1"/>
      <c r="AT46" s="1"/>
      <c r="AU46" t="s">
        <v>516</v>
      </c>
      <c r="AX46" t="str">
        <f t="shared" si="2"/>
        <v>Территория действия тарифа</v>
      </c>
      <c r="BA46">
        <v>21</v>
      </c>
    </row>
    <row r="47" spans="1:53" ht="24" customHeight="1" x14ac:dyDescent="0.15">
      <c r="A47" t="s">
        <v>249</v>
      </c>
      <c r="B47" t="s">
        <v>250</v>
      </c>
      <c r="C47" t="s">
        <v>251</v>
      </c>
      <c r="E47" s="1"/>
      <c r="F47" s="1"/>
      <c r="G47" s="1">
        <v>1</v>
      </c>
      <c r="S47" t="str">
        <f>INDEX(PT_DIFFERENTIATION_NUM_CS,MATCH(C47,PT_DIFFERENTIATION_CS_ID,0))</f>
        <v>..</v>
      </c>
      <c r="T47" t="s">
        <v>517</v>
      </c>
      <c r="V47" s="1"/>
      <c r="W47" s="1"/>
      <c r="X47" s="1"/>
      <c r="Y47" s="1"/>
      <c r="Z47" s="1"/>
      <c r="AA47" s="1"/>
      <c r="AB47" s="1" t="str">
        <f>INDEX(PT_DIFFERENTIATION_CS,MATCH(C47,PT_DIFFERENTIATION_CS_ID,0))</f>
        <v/>
      </c>
      <c r="AC47" s="1"/>
      <c r="AD47" s="1"/>
      <c r="AE47" s="1"/>
      <c r="AF47" s="1"/>
      <c r="AG47" s="1"/>
      <c r="AH47" s="1"/>
      <c r="AI47" s="1"/>
      <c r="AJ47" s="1"/>
      <c r="AK47" s="1"/>
      <c r="AL47" s="1"/>
      <c r="AM47" s="1"/>
      <c r="AN47" s="1"/>
      <c r="AO47" s="1"/>
      <c r="AP47" s="1"/>
      <c r="AQ47" s="1"/>
      <c r="AR47" s="1"/>
      <c r="AS47" s="1"/>
      <c r="AT47" s="1"/>
      <c r="AU47" t="s">
        <v>518</v>
      </c>
      <c r="AX47" t="str">
        <f t="shared" si="2"/>
        <v xml:space="preserve">Наименование системы теплоснабжения </v>
      </c>
      <c r="BA47">
        <v>23</v>
      </c>
    </row>
    <row r="48" spans="1:53" ht="21" customHeight="1" x14ac:dyDescent="0.15">
      <c r="A48" t="s">
        <v>249</v>
      </c>
      <c r="B48" t="s">
        <v>250</v>
      </c>
      <c r="C48" t="s">
        <v>251</v>
      </c>
      <c r="D48" t="s">
        <v>252</v>
      </c>
      <c r="E48" s="1"/>
      <c r="F48" s="1"/>
      <c r="G48" s="1"/>
      <c r="H48" s="1">
        <v>1</v>
      </c>
      <c r="S48" t="str">
        <f>INDEX(PT_DIFFERENTIATION_NUM_IST_TE,MATCH(D48,PT_DIFFERENTIATION_IST_TE_ID,0))</f>
        <v>...</v>
      </c>
      <c r="T48" t="s">
        <v>519</v>
      </c>
      <c r="V48" s="1"/>
      <c r="W48" s="1"/>
      <c r="X48" s="1"/>
      <c r="Y48" s="1"/>
      <c r="Z48" s="1"/>
      <c r="AA48" s="1"/>
      <c r="AB48" s="1" t="str">
        <f>INDEX(PT_DIFFERENTIATION_IST_TE,MATCH(D48,PT_DIFFERENTIATION_IST_TE_ID,0))</f>
        <v/>
      </c>
      <c r="AC48" s="1"/>
      <c r="AD48" s="1"/>
      <c r="AE48" s="1"/>
      <c r="AF48" s="1"/>
      <c r="AG48" s="1"/>
      <c r="AH48" s="1"/>
      <c r="AI48" s="1"/>
      <c r="AJ48" s="1"/>
      <c r="AK48" s="1"/>
      <c r="AL48" s="1"/>
      <c r="AM48" s="1"/>
      <c r="AN48" s="1"/>
      <c r="AO48" s="1"/>
      <c r="AP48" s="1"/>
      <c r="AQ48" s="1"/>
      <c r="AR48" s="1"/>
      <c r="AS48" s="1"/>
      <c r="AT48" s="1"/>
      <c r="AU48" t="s">
        <v>520</v>
      </c>
      <c r="AX48" t="str">
        <f t="shared" si="2"/>
        <v xml:space="preserve">Источник тепловой энергии  </v>
      </c>
      <c r="BA48">
        <v>20</v>
      </c>
    </row>
    <row r="49" spans="1:53" ht="1.1499999999999999" customHeight="1" x14ac:dyDescent="0.15">
      <c r="A49" t="s">
        <v>249</v>
      </c>
      <c r="B49" t="s">
        <v>250</v>
      </c>
      <c r="C49" t="s">
        <v>251</v>
      </c>
      <c r="D49" t="s">
        <v>252</v>
      </c>
      <c r="E49" s="1"/>
      <c r="F49" s="1"/>
      <c r="G49" s="1"/>
      <c r="H49" s="1"/>
      <c r="I49" s="1" t="str">
        <f>S48&amp;".1"</f>
        <v>....1</v>
      </c>
      <c r="L49" t="s">
        <v>521</v>
      </c>
      <c r="P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X49" t="str">
        <f t="shared" si="2"/>
        <v/>
      </c>
      <c r="BA49">
        <v>1</v>
      </c>
    </row>
    <row r="50" spans="1:53" ht="1.1499999999999999" customHeight="1" x14ac:dyDescent="0.15">
      <c r="A50" t="s">
        <v>249</v>
      </c>
      <c r="B50" t="s">
        <v>250</v>
      </c>
      <c r="C50" t="s">
        <v>251</v>
      </c>
      <c r="D50" t="s">
        <v>252</v>
      </c>
      <c r="E50" s="1"/>
      <c r="F50" s="1"/>
      <c r="G50" s="1"/>
      <c r="H50" s="1"/>
      <c r="I50" s="1"/>
      <c r="J50" s="1" t="str">
        <f>S48&amp;".1"</f>
        <v>....1</v>
      </c>
      <c r="P50" s="1"/>
      <c r="Q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X50" t="str">
        <f t="shared" si="2"/>
        <v/>
      </c>
      <c r="BA50">
        <v>1</v>
      </c>
    </row>
    <row r="51" spans="1:53" ht="21.95" customHeight="1" x14ac:dyDescent="0.15">
      <c r="A51" t="s">
        <v>249</v>
      </c>
      <c r="B51" t="s">
        <v>250</v>
      </c>
      <c r="C51" t="s">
        <v>251</v>
      </c>
      <c r="D51" t="s">
        <v>252</v>
      </c>
      <c r="E51" s="1"/>
      <c r="F51" s="1"/>
      <c r="G51" s="1"/>
      <c r="H51" s="1"/>
      <c r="I51" s="1"/>
      <c r="J51" s="1"/>
      <c r="K51" s="1" t="str">
        <f>S48&amp;".1"</f>
        <v>....1</v>
      </c>
      <c r="P51" s="1"/>
      <c r="Q51" s="1"/>
      <c r="R51">
        <v>1</v>
      </c>
      <c r="S51" s="1" t="str">
        <f>$K51</f>
        <v>....1</v>
      </c>
      <c r="T51" s="1"/>
      <c r="Y51" t="s">
        <v>63</v>
      </c>
      <c r="AA51" t="s">
        <v>63</v>
      </c>
      <c r="AB51" s="1" t="s">
        <v>19</v>
      </c>
      <c r="AC51" s="1"/>
      <c r="AD51" s="1">
        <v>1</v>
      </c>
      <c r="AE51" s="1" t="s">
        <v>28</v>
      </c>
      <c r="AF51" s="1" t="s">
        <v>19</v>
      </c>
      <c r="AG51" s="1"/>
      <c r="AH51" s="1">
        <v>1</v>
      </c>
      <c r="AI51" s="1" t="s">
        <v>28</v>
      </c>
      <c r="AJ51" s="1" t="s">
        <v>19</v>
      </c>
      <c r="AL51">
        <v>1</v>
      </c>
      <c r="AQ51" t="s">
        <v>63</v>
      </c>
      <c r="AS51" t="s">
        <v>63</v>
      </c>
      <c r="AU51" s="1" t="s">
        <v>595</v>
      </c>
      <c r="AV51" t="e">
        <f ca="1">STRCHECKDATE(V54:AT54)</f>
        <v>#NAME?</v>
      </c>
      <c r="AX51" t="str">
        <f t="shared" si="2"/>
        <v/>
      </c>
      <c r="BA51">
        <v>21</v>
      </c>
    </row>
    <row r="52" spans="1:53" ht="11.45" customHeight="1" x14ac:dyDescent="0.15">
      <c r="A52" t="s">
        <v>249</v>
      </c>
      <c r="E52" s="1"/>
      <c r="F52" s="1"/>
      <c r="G52" s="1"/>
      <c r="H52" s="1"/>
      <c r="I52" s="1"/>
      <c r="J52" s="1"/>
      <c r="K52" s="1"/>
      <c r="P52" s="1"/>
      <c r="Q52" s="1"/>
      <c r="S52" s="1"/>
      <c r="T52" s="1"/>
      <c r="AB52" s="1"/>
      <c r="AC52" s="1"/>
      <c r="AD52" s="1"/>
      <c r="AE52" s="1"/>
      <c r="AF52" s="1"/>
      <c r="AG52" s="1"/>
      <c r="AH52" s="1"/>
      <c r="AI52" s="1"/>
      <c r="AJ52" s="1"/>
      <c r="AM52" t="s">
        <v>580</v>
      </c>
      <c r="AU52" s="1"/>
      <c r="BA52">
        <v>11</v>
      </c>
    </row>
    <row r="53" spans="1:53" ht="11.45" customHeight="1" x14ac:dyDescent="0.15">
      <c r="A53" t="s">
        <v>249</v>
      </c>
      <c r="E53" s="1"/>
      <c r="F53" s="1"/>
      <c r="G53" s="1"/>
      <c r="H53" s="1"/>
      <c r="I53" s="1"/>
      <c r="J53" s="1"/>
      <c r="K53" s="1"/>
      <c r="P53" s="1"/>
      <c r="Q53" s="1"/>
      <c r="S53" s="1"/>
      <c r="T53" s="1"/>
      <c r="AB53" s="1"/>
      <c r="AC53" s="1"/>
      <c r="AD53" s="1"/>
      <c r="AE53" s="1"/>
      <c r="AF53" s="1"/>
      <c r="AI53" t="s">
        <v>581</v>
      </c>
      <c r="AU53" s="1"/>
      <c r="BA53">
        <v>11</v>
      </c>
    </row>
    <row r="54" spans="1:53" ht="11.45" customHeight="1" x14ac:dyDescent="0.15">
      <c r="A54" t="s">
        <v>249</v>
      </c>
      <c r="B54" t="s">
        <v>250</v>
      </c>
      <c r="C54" t="s">
        <v>251</v>
      </c>
      <c r="D54" t="s">
        <v>252</v>
      </c>
      <c r="E54" s="1"/>
      <c r="F54" s="1"/>
      <c r="G54" s="1"/>
      <c r="H54" s="1"/>
      <c r="I54" s="1"/>
      <c r="J54" s="1"/>
      <c r="K54" s="1"/>
      <c r="P54" s="1"/>
      <c r="Q54" s="1"/>
      <c r="S54" s="1"/>
      <c r="T54" s="1"/>
      <c r="W54" t="str">
        <f>X51&amp;"-"&amp;Z51</f>
        <v>-</v>
      </c>
      <c r="AB54" s="1"/>
      <c r="AE54" t="s">
        <v>582</v>
      </c>
      <c r="AO54" t="str">
        <f>AP51&amp;"-"&amp;AR51</f>
        <v>-</v>
      </c>
      <c r="AU54" s="1"/>
      <c r="AX54" t="str">
        <f t="shared" ref="AX54:AX62" si="3">IF(T54="","",T54)</f>
        <v/>
      </c>
      <c r="BA54">
        <v>11</v>
      </c>
    </row>
    <row r="55" spans="1:53" ht="11.45" customHeight="1" x14ac:dyDescent="0.15">
      <c r="A55" t="s">
        <v>249</v>
      </c>
      <c r="B55" t="s">
        <v>250</v>
      </c>
      <c r="C55" t="s">
        <v>251</v>
      </c>
      <c r="D55" t="s">
        <v>252</v>
      </c>
      <c r="E55" s="1"/>
      <c r="F55" s="1"/>
      <c r="G55" s="1"/>
      <c r="H55" s="1"/>
      <c r="I55" s="1"/>
      <c r="J55" s="1"/>
      <c r="P55" s="1"/>
      <c r="Q55" s="1"/>
      <c r="T55" t="s">
        <v>583</v>
      </c>
      <c r="AU55" s="1"/>
      <c r="AX55" t="str">
        <f t="shared" si="3"/>
        <v>Добавить строку</v>
      </c>
      <c r="BA55">
        <v>11</v>
      </c>
    </row>
    <row r="56" spans="1:53" ht="1.1499999999999999" customHeight="1" x14ac:dyDescent="0.15">
      <c r="A56" t="s">
        <v>249</v>
      </c>
      <c r="B56" t="s">
        <v>250</v>
      </c>
      <c r="C56" t="s">
        <v>251</v>
      </c>
      <c r="D56" t="s">
        <v>252</v>
      </c>
      <c r="E56" s="1"/>
      <c r="F56" s="1"/>
      <c r="G56" s="1"/>
      <c r="H56" s="1"/>
      <c r="I56" s="1"/>
      <c r="P56" s="1"/>
      <c r="T56" t="s">
        <v>530</v>
      </c>
      <c r="AX56" t="str">
        <f t="shared" si="3"/>
        <v>Добавить группу потребителей</v>
      </c>
      <c r="BA56">
        <v>1</v>
      </c>
    </row>
    <row r="57" spans="1:53" ht="1.1499999999999999" customHeight="1" x14ac:dyDescent="0.15">
      <c r="A57" t="s">
        <v>249</v>
      </c>
      <c r="B57" t="s">
        <v>250</v>
      </c>
      <c r="C57" t="s">
        <v>251</v>
      </c>
      <c r="D57" t="s">
        <v>252</v>
      </c>
      <c r="E57" s="1"/>
      <c r="F57" s="1"/>
      <c r="G57" s="1"/>
      <c r="H57" s="1"/>
      <c r="AX57" t="str">
        <f t="shared" si="3"/>
        <v/>
      </c>
      <c r="BA57">
        <v>1</v>
      </c>
    </row>
    <row r="58" spans="1:53" ht="1.1499999999999999" customHeight="1" x14ac:dyDescent="0.15">
      <c r="A58" t="s">
        <v>249</v>
      </c>
      <c r="B58" t="s">
        <v>250</v>
      </c>
      <c r="C58" t="s">
        <v>251</v>
      </c>
      <c r="E58" s="1"/>
      <c r="F58" s="1"/>
      <c r="G58" s="1"/>
      <c r="T58" t="s">
        <v>532</v>
      </c>
      <c r="AX58" t="str">
        <f t="shared" si="3"/>
        <v>Добавить источник для дифференциации</v>
      </c>
      <c r="BA58">
        <v>1</v>
      </c>
    </row>
    <row r="59" spans="1:53" ht="1.1499999999999999" customHeight="1" x14ac:dyDescent="0.15">
      <c r="A59" t="s">
        <v>249</v>
      </c>
      <c r="B59" t="s">
        <v>250</v>
      </c>
      <c r="E59" s="1"/>
      <c r="F59" s="1"/>
      <c r="T59" t="s">
        <v>321</v>
      </c>
      <c r="AX59" t="str">
        <f t="shared" si="3"/>
        <v>Добавить централизованную систему для дифференциации</v>
      </c>
      <c r="BA59">
        <v>1</v>
      </c>
    </row>
    <row r="60" spans="1:53" ht="1.1499999999999999" customHeight="1" x14ac:dyDescent="0.15">
      <c r="A60" t="s">
        <v>249</v>
      </c>
      <c r="E60" s="1"/>
      <c r="T60" t="s">
        <v>385</v>
      </c>
      <c r="AX60" t="str">
        <f t="shared" si="3"/>
        <v>Добавить территорию для дифференциации</v>
      </c>
      <c r="BA60">
        <v>1</v>
      </c>
    </row>
    <row r="61" spans="1:53" ht="1.1499999999999999" customHeight="1" x14ac:dyDescent="0.15">
      <c r="A61" t="s">
        <v>249</v>
      </c>
      <c r="E61" s="1"/>
      <c r="T61" t="s">
        <v>385</v>
      </c>
      <c r="AX61" t="str">
        <f t="shared" si="3"/>
        <v>Добавить территорию для дифференциации</v>
      </c>
      <c r="BA61">
        <v>1</v>
      </c>
    </row>
    <row r="62" spans="1:53" ht="1.1499999999999999" customHeight="1" x14ac:dyDescent="0.15">
      <c r="T62" t="s">
        <v>386</v>
      </c>
      <c r="AX62" t="str">
        <f t="shared" si="3"/>
        <v>Добавить наименование тарифа</v>
      </c>
      <c r="BA62">
        <v>1</v>
      </c>
    </row>
    <row r="63" spans="1:53" ht="11.45" customHeight="1" x14ac:dyDescent="0.15">
      <c r="BA63">
        <v>11</v>
      </c>
    </row>
    <row r="64" spans="1:53" ht="19.899999999999999" customHeight="1" x14ac:dyDescent="0.15">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BA64">
        <v>19</v>
      </c>
    </row>
    <row r="65" spans="1:53" ht="21"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BA65">
        <v>20</v>
      </c>
    </row>
    <row r="66" spans="1:53" ht="14.65" customHeight="1" x14ac:dyDescent="0.15">
      <c r="BA66">
        <v>14</v>
      </c>
    </row>
    <row r="67" spans="1:53"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BA67">
        <v>19</v>
      </c>
    </row>
    <row r="68" spans="1:53" ht="16.899999999999999" customHeight="1" x14ac:dyDescent="0.15">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BA68">
        <v>16</v>
      </c>
    </row>
    <row r="69" spans="1:53" ht="14.65" customHeight="1" x14ac:dyDescent="0.15">
      <c r="BA69">
        <v>14</v>
      </c>
    </row>
    <row r="70" spans="1:53" ht="22.5" hidden="1" customHeight="1" x14ac:dyDescent="0.15">
      <c r="A70" t="s">
        <v>84</v>
      </c>
      <c r="B70">
        <v>0</v>
      </c>
      <c r="C70">
        <v>0</v>
      </c>
      <c r="D70">
        <v>0</v>
      </c>
      <c r="E70">
        <v>0</v>
      </c>
      <c r="F70">
        <v>0</v>
      </c>
      <c r="G70">
        <v>0</v>
      </c>
      <c r="H70">
        <v>0</v>
      </c>
      <c r="I70">
        <v>0</v>
      </c>
      <c r="J70">
        <v>0</v>
      </c>
      <c r="K70">
        <v>0</v>
      </c>
      <c r="L70">
        <v>0</v>
      </c>
      <c r="M70">
        <v>0</v>
      </c>
      <c r="N70">
        <v>0</v>
      </c>
      <c r="O70">
        <v>0</v>
      </c>
      <c r="P70">
        <v>3</v>
      </c>
      <c r="Q70">
        <v>3</v>
      </c>
      <c r="R70">
        <v>3</v>
      </c>
      <c r="S70">
        <v>12</v>
      </c>
      <c r="T70">
        <v>31</v>
      </c>
      <c r="U70">
        <v>0</v>
      </c>
      <c r="V70">
        <v>0</v>
      </c>
      <c r="W70">
        <v>0</v>
      </c>
      <c r="X70">
        <v>0</v>
      </c>
      <c r="Y70">
        <v>0</v>
      </c>
      <c r="Z70">
        <v>0</v>
      </c>
      <c r="AA70">
        <v>0</v>
      </c>
      <c r="AB70">
        <v>5</v>
      </c>
      <c r="AC70">
        <v>3</v>
      </c>
      <c r="AD70">
        <v>3</v>
      </c>
      <c r="AE70">
        <v>24</v>
      </c>
      <c r="AF70">
        <v>3</v>
      </c>
      <c r="AG70">
        <v>3</v>
      </c>
      <c r="AH70">
        <v>3</v>
      </c>
      <c r="AI70">
        <v>24</v>
      </c>
      <c r="AJ70">
        <v>3</v>
      </c>
      <c r="AK70">
        <v>3</v>
      </c>
      <c r="AL70">
        <v>3</v>
      </c>
      <c r="AM70">
        <v>18</v>
      </c>
      <c r="AN70">
        <v>21</v>
      </c>
      <c r="AO70">
        <v>21</v>
      </c>
      <c r="AP70">
        <v>11</v>
      </c>
      <c r="AQ70">
        <v>3</v>
      </c>
      <c r="AR70">
        <v>11</v>
      </c>
      <c r="AS70">
        <v>8</v>
      </c>
      <c r="AT70">
        <v>4</v>
      </c>
      <c r="AU70">
        <v>115</v>
      </c>
      <c r="AV70">
        <v>10</v>
      </c>
      <c r="AW70">
        <v>10</v>
      </c>
      <c r="AX70">
        <v>10</v>
      </c>
      <c r="AY70">
        <v>10</v>
      </c>
      <c r="AZ70">
        <v>10</v>
      </c>
      <c r="BA7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596</v>
      </c>
      <c r="V4" s="1"/>
      <c r="W4" s="1"/>
      <c r="X4" s="1"/>
      <c r="Y4" s="1"/>
      <c r="Z4" s="1"/>
      <c r="AA4" s="1"/>
      <c r="AB4" s="1"/>
      <c r="AC4" s="1" t="e">
        <f>INDEX(PT_DIFFERENTIATION_CS,MATCH(C4,PT_DIFFERENTIATION_CS_ID,0))</f>
        <v>#N/A</v>
      </c>
      <c r="AD4" s="1"/>
      <c r="AE4" s="1"/>
      <c r="AF4" s="1"/>
      <c r="AG4" s="1"/>
      <c r="AH4" s="1"/>
      <c r="AI4" s="1"/>
      <c r="AJ4" s="1"/>
      <c r="AK4" t="s">
        <v>597</v>
      </c>
      <c r="AN4" t="str">
        <f t="shared" si="0"/>
        <v>Наименование централизованной системы холодного водоснабжения</v>
      </c>
      <c r="AQ4">
        <v>0</v>
      </c>
    </row>
    <row r="5" spans="5:43"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t="s">
        <v>599</v>
      </c>
      <c r="AN5" t="str">
        <f t="shared" si="0"/>
        <v>Наименование признака дифференциации</v>
      </c>
      <c r="AQ5">
        <v>0</v>
      </c>
    </row>
    <row r="6" spans="5:43"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t="s">
        <v>600</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601</v>
      </c>
      <c r="AK9" t="s">
        <v>602</v>
      </c>
      <c r="AN9" t="str">
        <f t="shared" si="0"/>
        <v>Добавить значение признака дифференциации</v>
      </c>
      <c r="AQ9">
        <v>0</v>
      </c>
    </row>
    <row r="10" spans="5:43" ht="21" hidden="1" customHeight="1" x14ac:dyDescent="0.15">
      <c r="E10" s="1"/>
      <c r="F10" s="1"/>
      <c r="G10" s="1"/>
      <c r="H10" s="1"/>
      <c r="I10" s="1"/>
      <c r="P10" s="1"/>
      <c r="T10" t="s">
        <v>530</v>
      </c>
      <c r="AN10" t="str">
        <f t="shared" si="0"/>
        <v>Добавить группу потребителей</v>
      </c>
      <c r="AQ10">
        <v>0</v>
      </c>
    </row>
    <row r="11" spans="5:43" ht="14.25" hidden="1" customHeight="1" x14ac:dyDescent="0.15">
      <c r="E11" s="1"/>
      <c r="F11" s="1"/>
      <c r="G11" s="1"/>
      <c r="H11" s="1"/>
      <c r="T11" t="s">
        <v>603</v>
      </c>
      <c r="AN11" t="str">
        <f t="shared" si="0"/>
        <v>Добавить наименование признака дифференциации</v>
      </c>
      <c r="AQ11">
        <v>0</v>
      </c>
    </row>
    <row r="12" spans="5:43" ht="14.25" hidden="1" customHeight="1" x14ac:dyDescent="0.15">
      <c r="E12" s="1"/>
      <c r="F12" s="1"/>
      <c r="T12" t="s">
        <v>321</v>
      </c>
      <c r="AN12" t="str">
        <f t="shared" si="0"/>
        <v>Добавить централизованную систему для дифференциации</v>
      </c>
      <c r="AQ12">
        <v>0</v>
      </c>
    </row>
    <row r="13" spans="5:43" ht="14.25" hidden="1" customHeight="1" x14ac:dyDescent="0.15">
      <c r="E13" s="1"/>
      <c r="T13" t="s">
        <v>385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533</v>
      </c>
      <c r="AQ18">
        <v>0</v>
      </c>
    </row>
    <row r="19" spans="15:43" ht="14.25" hidden="1" customHeight="1" x14ac:dyDescent="0.15">
      <c r="AQ19">
        <v>0</v>
      </c>
    </row>
    <row r="20" spans="15:43" ht="12" hidden="1" customHeight="1" x14ac:dyDescent="0.15">
      <c r="O20" t="s">
        <v>534</v>
      </c>
      <c r="T20" t="s">
        <v>535</v>
      </c>
      <c r="Z20" t="s">
        <v>536</v>
      </c>
      <c r="AB20" t="s">
        <v>537</v>
      </c>
      <c r="AC20" t="s">
        <v>535</v>
      </c>
      <c r="AG20" t="s">
        <v>538</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Q28">
        <v>0</v>
      </c>
    </row>
    <row r="29" spans="15:43"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Q32">
        <v>0</v>
      </c>
    </row>
    <row r="33" spans="1:43"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543</v>
      </c>
      <c r="AI34" t="s">
        <v>543</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548</v>
      </c>
      <c r="AK37" s="1"/>
      <c r="AQ37">
        <v>14</v>
      </c>
    </row>
    <row r="38" spans="1:43" ht="35.65" customHeight="1" x14ac:dyDescent="0.15">
      <c r="S38" s="1"/>
      <c r="T38" s="1"/>
      <c r="V38" t="s">
        <v>604</v>
      </c>
      <c r="W38" s="1" t="s">
        <v>551</v>
      </c>
      <c r="X38" s="1"/>
      <c r="Y38" s="1" t="s">
        <v>552</v>
      </c>
      <c r="Z38" s="1"/>
      <c r="AA38" s="1"/>
      <c r="AB38" s="1"/>
      <c r="AC38" t="s">
        <v>604</v>
      </c>
      <c r="AD38" s="1" t="s">
        <v>551</v>
      </c>
      <c r="AE38" s="1"/>
      <c r="AF38" s="1" t="s">
        <v>552</v>
      </c>
      <c r="AG38" s="1"/>
      <c r="AH38" s="1"/>
      <c r="AI38" s="1"/>
      <c r="AJ38" s="1"/>
      <c r="AK38" s="1"/>
      <c r="AQ38">
        <v>34</v>
      </c>
    </row>
    <row r="39" spans="1:43" ht="35.65" customHeight="1" x14ac:dyDescent="0.15">
      <c r="B39" t="s">
        <v>191</v>
      </c>
      <c r="C39" t="s">
        <v>192</v>
      </c>
      <c r="D39" t="s">
        <v>193</v>
      </c>
      <c r="E39" t="s">
        <v>553</v>
      </c>
      <c r="F39" t="s">
        <v>554</v>
      </c>
      <c r="G39" t="s">
        <v>555</v>
      </c>
      <c r="I39" t="s">
        <v>605</v>
      </c>
      <c r="J39" t="s">
        <v>558</v>
      </c>
      <c r="K39" t="s">
        <v>606</v>
      </c>
      <c r="L39" t="s">
        <v>534</v>
      </c>
      <c r="S39" s="1"/>
      <c r="T39" s="1"/>
      <c r="V39" t="s">
        <v>607</v>
      </c>
      <c r="W39" t="s">
        <v>608</v>
      </c>
      <c r="X39" t="s">
        <v>609</v>
      </c>
      <c r="Y39" t="s">
        <v>562</v>
      </c>
      <c r="Z39" s="1" t="s">
        <v>563</v>
      </c>
      <c r="AA39" s="1"/>
      <c r="AB39" s="1"/>
      <c r="AC39" t="s">
        <v>607</v>
      </c>
      <c r="AD39" t="s">
        <v>608</v>
      </c>
      <c r="AE39" t="s">
        <v>609</v>
      </c>
      <c r="AF39" t="s">
        <v>562</v>
      </c>
      <c r="AG39" s="1" t="s">
        <v>563</v>
      </c>
      <c r="AH39" s="1"/>
      <c r="AI39" s="1"/>
      <c r="AJ39" s="1"/>
      <c r="AK39" s="1"/>
      <c r="AQ39">
        <v>34</v>
      </c>
    </row>
    <row r="40" spans="1:43" ht="11.25"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275</v>
      </c>
      <c r="E41" s="1">
        <v>1</v>
      </c>
      <c r="S41">
        <f>INDEX(PT_DIFFERENTIATION_NUM_NTAR,MATCH(A41,PT_DIFFERENTIATION_NTAR_ID,0))</f>
        <v>0</v>
      </c>
      <c r="T41" t="s">
        <v>179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275</v>
      </c>
      <c r="B42" t="s">
        <v>276</v>
      </c>
      <c r="E42" s="1"/>
      <c r="F42" s="1">
        <v>1</v>
      </c>
      <c r="S42" t="str">
        <f>INDEX(PT_DIFFERENTIATION_NUM_TER,MATCH(B42,PT_DIFFERENTIATION_TER_ID,0))</f>
        <v>.</v>
      </c>
      <c r="T42" t="s">
        <v>515</v>
      </c>
      <c r="V42" s="1"/>
      <c r="W42" s="1"/>
      <c r="X42" s="1"/>
      <c r="Y42" s="1"/>
      <c r="Z42" s="1"/>
      <c r="AA42" s="1"/>
      <c r="AB42" s="1"/>
      <c r="AC42" s="1" t="str">
        <f>INDEX(PT_DIFFERENTIATION_TER,MATCH(B42,PT_DIFFERENTIATION_TER_ID,0))</f>
        <v/>
      </c>
      <c r="AD42" s="1"/>
      <c r="AE42" s="1"/>
      <c r="AF42" s="1"/>
      <c r="AG42" s="1"/>
      <c r="AH42" s="1"/>
      <c r="AI42" s="1"/>
      <c r="AJ42" s="1"/>
      <c r="AK42" t="s">
        <v>516</v>
      </c>
      <c r="AN42" t="str">
        <f t="shared" si="1"/>
        <v>Территория действия тарифа</v>
      </c>
      <c r="AQ42">
        <v>23</v>
      </c>
    </row>
    <row r="43" spans="1:43" ht="24" customHeight="1" x14ac:dyDescent="0.15">
      <c r="A43" t="s">
        <v>275</v>
      </c>
      <c r="B43" t="s">
        <v>276</v>
      </c>
      <c r="C43" t="s">
        <v>277</v>
      </c>
      <c r="E43" s="1"/>
      <c r="F43" s="1"/>
      <c r="G43" s="1">
        <v>1</v>
      </c>
      <c r="S43" t="str">
        <f>INDEX(PT_DIFFERENTIATION_NUM_CS,MATCH(C43,PT_DIFFERENTIATION_CS_ID,0))</f>
        <v>..</v>
      </c>
      <c r="T43" t="s">
        <v>596</v>
      </c>
      <c r="V43" s="1"/>
      <c r="W43" s="1"/>
      <c r="X43" s="1"/>
      <c r="Y43" s="1"/>
      <c r="Z43" s="1"/>
      <c r="AA43" s="1"/>
      <c r="AB43" s="1"/>
      <c r="AC43" s="1" t="str">
        <f>INDEX(PT_DIFFERENTIATION_CS,MATCH(C43,PT_DIFFERENTIATION_CS_ID,0))</f>
        <v/>
      </c>
      <c r="AD43" s="1"/>
      <c r="AE43" s="1"/>
      <c r="AF43" s="1"/>
      <c r="AG43" s="1"/>
      <c r="AH43" s="1"/>
      <c r="AI43" s="1"/>
      <c r="AJ43" s="1"/>
      <c r="AK43" t="s">
        <v>597</v>
      </c>
      <c r="AN43" t="str">
        <f t="shared" si="1"/>
        <v>Наименование централизованной системы холодного водоснабжения</v>
      </c>
      <c r="AQ43">
        <v>23</v>
      </c>
    </row>
    <row r="44" spans="1:43" ht="24" customHeight="1" x14ac:dyDescent="0.15">
      <c r="A44" t="s">
        <v>275</v>
      </c>
      <c r="B44" t="s">
        <v>276</v>
      </c>
      <c r="C44" t="s">
        <v>277</v>
      </c>
      <c r="D44" t="s">
        <v>610</v>
      </c>
      <c r="E44" s="1"/>
      <c r="F44" s="1"/>
      <c r="G44" s="1"/>
      <c r="H44" s="1"/>
      <c r="I44" s="1" t="str">
        <f>S43&amp;".1"</f>
        <v>...1</v>
      </c>
      <c r="P44" s="1">
        <v>1</v>
      </c>
      <c r="S44" t="str">
        <f>$I44</f>
        <v>...1</v>
      </c>
      <c r="T44" t="s">
        <v>598</v>
      </c>
      <c r="V44" s="1"/>
      <c r="W44" s="1"/>
      <c r="X44" s="1"/>
      <c r="Y44" s="1"/>
      <c r="Z44" s="1"/>
      <c r="AA44" s="1"/>
      <c r="AB44" s="1"/>
      <c r="AC44" s="1"/>
      <c r="AD44" s="1"/>
      <c r="AE44" s="1"/>
      <c r="AF44" s="1"/>
      <c r="AG44" s="1"/>
      <c r="AH44" s="1"/>
      <c r="AI44" s="1"/>
      <c r="AJ44" s="1"/>
      <c r="AK44" t="s">
        <v>599</v>
      </c>
      <c r="AN44" t="str">
        <f t="shared" si="1"/>
        <v>Наименование признака дифференциации</v>
      </c>
      <c r="AQ44">
        <v>23</v>
      </c>
    </row>
    <row r="45" spans="1:43" ht="24" customHeight="1" x14ac:dyDescent="0.15">
      <c r="A45" t="s">
        <v>275</v>
      </c>
      <c r="B45" t="s">
        <v>276</v>
      </c>
      <c r="C45" t="s">
        <v>277</v>
      </c>
      <c r="D45" t="s">
        <v>610</v>
      </c>
      <c r="E45" s="1"/>
      <c r="F45" s="1"/>
      <c r="G45" s="1"/>
      <c r="H45" s="1"/>
      <c r="I45" s="1"/>
      <c r="J45" s="1" t="str">
        <f>I44&amp;".1"</f>
        <v>...1.1</v>
      </c>
      <c r="L45" t="s">
        <v>524</v>
      </c>
      <c r="P45" s="1"/>
      <c r="Q45" s="1">
        <v>1</v>
      </c>
      <c r="S45" t="str">
        <f>$J45</f>
        <v>...1.1</v>
      </c>
      <c r="T45" t="s">
        <v>525</v>
      </c>
      <c r="V45" s="1"/>
      <c r="W45" s="1"/>
      <c r="X45" s="1"/>
      <c r="Y45" s="1"/>
      <c r="Z45" s="1"/>
      <c r="AA45" s="1"/>
      <c r="AB45" s="1"/>
      <c r="AC45" s="1"/>
      <c r="AD45" s="1"/>
      <c r="AE45" s="1"/>
      <c r="AF45" s="1"/>
      <c r="AG45" s="1"/>
      <c r="AH45" s="1"/>
      <c r="AI45" s="1"/>
      <c r="AJ45" s="1"/>
      <c r="AK45" t="s">
        <v>600</v>
      </c>
      <c r="AN45" t="str">
        <f t="shared" si="1"/>
        <v>Группа потребителей</v>
      </c>
      <c r="AQ45">
        <v>23</v>
      </c>
    </row>
    <row r="46" spans="1:43" ht="24" customHeight="1" x14ac:dyDescent="0.15">
      <c r="A46" t="s">
        <v>275</v>
      </c>
      <c r="B46" t="s">
        <v>276</v>
      </c>
      <c r="C46" t="s">
        <v>277</v>
      </c>
      <c r="D46" t="s">
        <v>610</v>
      </c>
      <c r="E46" s="1"/>
      <c r="F46" s="1"/>
      <c r="G46" s="1"/>
      <c r="H46" s="1"/>
      <c r="I46" s="1"/>
      <c r="J46" s="1"/>
      <c r="K46" s="1" t="str">
        <f>J45&amp;".1"</f>
        <v>...1.1.1</v>
      </c>
      <c r="P46" s="1"/>
      <c r="Q46" s="1"/>
      <c r="R46">
        <v>1</v>
      </c>
      <c r="S46" t="str">
        <f>$K46</f>
        <v>...1.1.1</v>
      </c>
      <c r="Y46" s="1"/>
      <c r="Z46" s="1" t="s">
        <v>63</v>
      </c>
      <c r="AA46" s="1"/>
      <c r="AB46" s="1" t="s">
        <v>63</v>
      </c>
      <c r="AF46" s="1"/>
      <c r="AG46" s="1" t="s">
        <v>63</v>
      </c>
      <c r="AH46" s="1"/>
      <c r="AI46" s="1" t="s">
        <v>19</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275</v>
      </c>
      <c r="B47" t="s">
        <v>276</v>
      </c>
      <c r="C47" t="s">
        <v>277</v>
      </c>
      <c r="D47" t="s">
        <v>610</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275</v>
      </c>
      <c r="B48" t="s">
        <v>276</v>
      </c>
      <c r="C48" t="s">
        <v>277</v>
      </c>
      <c r="D48" t="s">
        <v>610</v>
      </c>
      <c r="E48" s="1"/>
      <c r="F48" s="1"/>
      <c r="G48" s="1"/>
      <c r="H48" s="1"/>
      <c r="I48" s="1"/>
      <c r="J48" s="1"/>
      <c r="P48" s="1"/>
      <c r="Q48" s="1"/>
      <c r="T48" t="s">
        <v>601</v>
      </c>
      <c r="AK48" t="s">
        <v>602</v>
      </c>
      <c r="AN48" t="str">
        <f t="shared" si="1"/>
        <v>Добавить значение признака дифференциации</v>
      </c>
      <c r="AQ48">
        <v>20</v>
      </c>
    </row>
    <row r="49" spans="1:43" ht="21.95" customHeight="1" x14ac:dyDescent="0.15">
      <c r="A49" t="s">
        <v>275</v>
      </c>
      <c r="B49" t="s">
        <v>276</v>
      </c>
      <c r="C49" t="s">
        <v>277</v>
      </c>
      <c r="D49" t="s">
        <v>610</v>
      </c>
      <c r="E49" s="1"/>
      <c r="F49" s="1"/>
      <c r="G49" s="1"/>
      <c r="H49" s="1"/>
      <c r="I49" s="1"/>
      <c r="P49" s="1"/>
      <c r="T49" t="s">
        <v>530</v>
      </c>
      <c r="AN49" t="str">
        <f t="shared" si="1"/>
        <v>Добавить группу потребителей</v>
      </c>
      <c r="AQ49">
        <v>21</v>
      </c>
    </row>
    <row r="50" spans="1:43" ht="21.95" customHeight="1" x14ac:dyDescent="0.15">
      <c r="A50" t="s">
        <v>275</v>
      </c>
      <c r="B50" t="s">
        <v>276</v>
      </c>
      <c r="C50" t="s">
        <v>277</v>
      </c>
      <c r="D50" t="s">
        <v>610</v>
      </c>
      <c r="E50" s="1"/>
      <c r="F50" s="1"/>
      <c r="G50" s="1"/>
      <c r="H50" s="1"/>
      <c r="T50" t="s">
        <v>603</v>
      </c>
      <c r="AN50" t="str">
        <f t="shared" si="1"/>
        <v>Добавить наименование признака дифференциации</v>
      </c>
      <c r="AQ50">
        <v>21</v>
      </c>
    </row>
    <row r="51" spans="1:43" ht="0" hidden="1" customHeight="1" x14ac:dyDescent="0.15">
      <c r="A51" t="s">
        <v>275</v>
      </c>
      <c r="B51" t="s">
        <v>276</v>
      </c>
      <c r="E51" s="1"/>
      <c r="F51" s="1"/>
      <c r="T51" t="s">
        <v>321</v>
      </c>
      <c r="AN51" t="str">
        <f t="shared" si="1"/>
        <v>Добавить централизованную систему для дифференциации</v>
      </c>
      <c r="AQ51">
        <v>0</v>
      </c>
    </row>
    <row r="52" spans="1:43" ht="0" hidden="1" customHeight="1" x14ac:dyDescent="0.15">
      <c r="A52" t="s">
        <v>275</v>
      </c>
      <c r="E52" s="1"/>
      <c r="T52" t="s">
        <v>385</v>
      </c>
      <c r="AN52" t="str">
        <f t="shared" si="1"/>
        <v>Добавить территорию для дифференциации</v>
      </c>
      <c r="AQ52">
        <v>0</v>
      </c>
    </row>
    <row r="53" spans="1:43" ht="0" hidden="1" customHeight="1" x14ac:dyDescent="0.15">
      <c r="T53" t="s">
        <v>386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596</v>
      </c>
      <c r="V4" s="1"/>
      <c r="W4" s="1"/>
      <c r="X4" s="1"/>
      <c r="Y4" s="1"/>
      <c r="Z4" s="1"/>
      <c r="AA4" s="1"/>
      <c r="AB4" s="1"/>
      <c r="AC4" s="1" t="e">
        <f>INDEX(PT_DIFFERENTIATION_CS,MATCH(C4,PT_DIFFERENTIATION_CS_ID,0))</f>
        <v>#N/A</v>
      </c>
      <c r="AD4" s="1"/>
      <c r="AE4" s="1"/>
      <c r="AF4" s="1"/>
      <c r="AG4" s="1"/>
      <c r="AH4" s="1"/>
      <c r="AI4" s="1"/>
      <c r="AJ4" s="1"/>
      <c r="AK4" t="s">
        <v>597</v>
      </c>
      <c r="AN4" t="str">
        <f t="shared" si="0"/>
        <v>Наименование централизованной системы холодного водоснабжения</v>
      </c>
      <c r="AQ4">
        <v>0</v>
      </c>
    </row>
    <row r="5" spans="5:43"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t="s">
        <v>599</v>
      </c>
      <c r="AN5" t="str">
        <f t="shared" si="0"/>
        <v>Наименование признака дифференциации</v>
      </c>
      <c r="AQ5">
        <v>0</v>
      </c>
    </row>
    <row r="6" spans="5:43"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t="s">
        <v>600</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601</v>
      </c>
      <c r="AK9" t="s">
        <v>602</v>
      </c>
      <c r="AN9" t="str">
        <f t="shared" si="0"/>
        <v>Добавить значение признака дифференциации</v>
      </c>
      <c r="AQ9">
        <v>0</v>
      </c>
    </row>
    <row r="10" spans="5:43" ht="21" hidden="1" customHeight="1" x14ac:dyDescent="0.15">
      <c r="E10" s="1"/>
      <c r="F10" s="1"/>
      <c r="G10" s="1"/>
      <c r="H10" s="1"/>
      <c r="I10" s="1"/>
      <c r="P10" s="1"/>
      <c r="T10" t="s">
        <v>530</v>
      </c>
      <c r="AN10" t="str">
        <f t="shared" si="0"/>
        <v>Добавить группу потребителей</v>
      </c>
      <c r="AQ10">
        <v>0</v>
      </c>
    </row>
    <row r="11" spans="5:43" ht="21" hidden="1" customHeight="1" x14ac:dyDescent="0.15">
      <c r="E11" s="1"/>
      <c r="F11" s="1"/>
      <c r="G11" s="1"/>
      <c r="H11" s="1"/>
      <c r="T11" t="s">
        <v>603</v>
      </c>
      <c r="AN11" t="str">
        <f t="shared" si="0"/>
        <v>Добавить наименование признака дифференциации</v>
      </c>
      <c r="AQ11">
        <v>0</v>
      </c>
    </row>
    <row r="12" spans="5:43" ht="14.25" hidden="1" customHeight="1" x14ac:dyDescent="0.15">
      <c r="E12" s="1"/>
      <c r="F12" s="1"/>
      <c r="T12" t="s">
        <v>321</v>
      </c>
      <c r="AN12" t="str">
        <f t="shared" si="0"/>
        <v>Добавить централизованную систему для дифференциации</v>
      </c>
      <c r="AQ12">
        <v>0</v>
      </c>
    </row>
    <row r="13" spans="5:43" ht="14.25" hidden="1" customHeight="1" x14ac:dyDescent="0.15">
      <c r="E13" s="1"/>
      <c r="T13" t="s">
        <v>385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533</v>
      </c>
      <c r="AQ18">
        <v>0</v>
      </c>
    </row>
    <row r="19" spans="15:43" ht="14.25" hidden="1" customHeight="1" x14ac:dyDescent="0.15">
      <c r="AQ19">
        <v>0</v>
      </c>
    </row>
    <row r="20" spans="15:43" ht="12" hidden="1" customHeight="1" x14ac:dyDescent="0.15">
      <c r="O20" t="s">
        <v>534</v>
      </c>
      <c r="T20" t="s">
        <v>535</v>
      </c>
      <c r="Z20" t="s">
        <v>536</v>
      </c>
      <c r="AB20" t="s">
        <v>537</v>
      </c>
      <c r="AC20" t="s">
        <v>535</v>
      </c>
      <c r="AG20" t="s">
        <v>538</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Q28">
        <v>0</v>
      </c>
    </row>
    <row r="29" spans="15:43"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Q32">
        <v>0</v>
      </c>
    </row>
    <row r="33" spans="1:43"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543</v>
      </c>
      <c r="AI34" t="s">
        <v>543</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548</v>
      </c>
      <c r="AK37" s="1"/>
      <c r="AQ37">
        <v>14</v>
      </c>
    </row>
    <row r="38" spans="1:43" ht="35.65" customHeight="1" x14ac:dyDescent="0.15">
      <c r="S38" s="1"/>
      <c r="T38" s="1"/>
      <c r="V38" t="s">
        <v>604</v>
      </c>
      <c r="W38" s="1" t="s">
        <v>551</v>
      </c>
      <c r="X38" s="1"/>
      <c r="Y38" s="1" t="s">
        <v>552</v>
      </c>
      <c r="Z38" s="1"/>
      <c r="AA38" s="1"/>
      <c r="AB38" s="1"/>
      <c r="AC38" t="s">
        <v>604</v>
      </c>
      <c r="AD38" s="1" t="s">
        <v>551</v>
      </c>
      <c r="AE38" s="1"/>
      <c r="AF38" s="1" t="s">
        <v>552</v>
      </c>
      <c r="AG38" s="1"/>
      <c r="AH38" s="1"/>
      <c r="AI38" s="1"/>
      <c r="AJ38" s="1"/>
      <c r="AK38" s="1"/>
      <c r="AQ38">
        <v>34</v>
      </c>
    </row>
    <row r="39" spans="1:43" ht="35.65" customHeight="1" x14ac:dyDescent="0.15">
      <c r="B39" t="s">
        <v>191</v>
      </c>
      <c r="C39" t="s">
        <v>192</v>
      </c>
      <c r="D39" t="s">
        <v>193</v>
      </c>
      <c r="E39" t="s">
        <v>553</v>
      </c>
      <c r="F39" t="s">
        <v>554</v>
      </c>
      <c r="G39" t="s">
        <v>555</v>
      </c>
      <c r="I39" t="s">
        <v>605</v>
      </c>
      <c r="J39" t="s">
        <v>558</v>
      </c>
      <c r="K39" t="s">
        <v>606</v>
      </c>
      <c r="L39" t="s">
        <v>534</v>
      </c>
      <c r="S39" s="1"/>
      <c r="T39" s="1"/>
      <c r="V39" t="s">
        <v>607</v>
      </c>
      <c r="W39" t="s">
        <v>608</v>
      </c>
      <c r="X39" t="s">
        <v>609</v>
      </c>
      <c r="Y39" t="s">
        <v>562</v>
      </c>
      <c r="Z39" s="1" t="s">
        <v>563</v>
      </c>
      <c r="AA39" s="1"/>
      <c r="AB39" s="1"/>
      <c r="AC39" t="s">
        <v>607</v>
      </c>
      <c r="AD39" t="s">
        <v>608</v>
      </c>
      <c r="AE39" t="s">
        <v>609</v>
      </c>
      <c r="AF39" t="s">
        <v>562</v>
      </c>
      <c r="AG39" s="1" t="s">
        <v>563</v>
      </c>
      <c r="AH39" s="1"/>
      <c r="AI39" s="1"/>
      <c r="AJ39" s="1"/>
      <c r="AK39" s="1"/>
      <c r="AQ39">
        <v>34</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280</v>
      </c>
      <c r="E41" s="1">
        <v>1</v>
      </c>
      <c r="S41">
        <f>INDEX(PT_DIFFERENTIATION_NUM_NTAR,MATCH(A41,PT_DIFFERENTIATION_NTAR_ID,0))</f>
        <v>0</v>
      </c>
      <c r="T41" t="s">
        <v>179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280</v>
      </c>
      <c r="B42" t="s">
        <v>281</v>
      </c>
      <c r="E42" s="1"/>
      <c r="F42" s="1">
        <v>1</v>
      </c>
      <c r="S42" t="str">
        <f>INDEX(PT_DIFFERENTIATION_NUM_TER,MATCH(B42,PT_DIFFERENTIATION_TER_ID,0))</f>
        <v>.</v>
      </c>
      <c r="T42" t="s">
        <v>515</v>
      </c>
      <c r="V42" s="1"/>
      <c r="W42" s="1"/>
      <c r="X42" s="1"/>
      <c r="Y42" s="1"/>
      <c r="Z42" s="1"/>
      <c r="AA42" s="1"/>
      <c r="AB42" s="1"/>
      <c r="AC42" s="1" t="str">
        <f>INDEX(PT_DIFFERENTIATION_TER,MATCH(B42,PT_DIFFERENTIATION_TER_ID,0))</f>
        <v/>
      </c>
      <c r="AD42" s="1"/>
      <c r="AE42" s="1"/>
      <c r="AF42" s="1"/>
      <c r="AG42" s="1"/>
      <c r="AH42" s="1"/>
      <c r="AI42" s="1"/>
      <c r="AJ42" s="1"/>
      <c r="AK42" t="s">
        <v>516</v>
      </c>
      <c r="AN42" t="str">
        <f t="shared" si="1"/>
        <v>Территория действия тарифа</v>
      </c>
      <c r="AQ42">
        <v>23</v>
      </c>
    </row>
    <row r="43" spans="1:43" ht="24" customHeight="1" x14ac:dyDescent="0.15">
      <c r="A43" t="s">
        <v>280</v>
      </c>
      <c r="B43" t="s">
        <v>281</v>
      </c>
      <c r="C43" t="s">
        <v>282</v>
      </c>
      <c r="E43" s="1"/>
      <c r="F43" s="1"/>
      <c r="G43" s="1">
        <v>1</v>
      </c>
      <c r="S43" t="str">
        <f>INDEX(PT_DIFFERENTIATION_NUM_CS,MATCH(C43,PT_DIFFERENTIATION_CS_ID,0))</f>
        <v>..</v>
      </c>
      <c r="T43" t="s">
        <v>596</v>
      </c>
      <c r="V43" s="1"/>
      <c r="W43" s="1"/>
      <c r="X43" s="1"/>
      <c r="Y43" s="1"/>
      <c r="Z43" s="1"/>
      <c r="AA43" s="1"/>
      <c r="AB43" s="1"/>
      <c r="AC43" s="1" t="str">
        <f>INDEX(PT_DIFFERENTIATION_CS,MATCH(C43,PT_DIFFERENTIATION_CS_ID,0))</f>
        <v/>
      </c>
      <c r="AD43" s="1"/>
      <c r="AE43" s="1"/>
      <c r="AF43" s="1"/>
      <c r="AG43" s="1"/>
      <c r="AH43" s="1"/>
      <c r="AI43" s="1"/>
      <c r="AJ43" s="1"/>
      <c r="AK43" t="s">
        <v>597</v>
      </c>
      <c r="AN43" t="str">
        <f t="shared" si="1"/>
        <v>Наименование централизованной системы холодного водоснабжения</v>
      </c>
      <c r="AQ43">
        <v>23</v>
      </c>
    </row>
    <row r="44" spans="1:43" ht="24" customHeight="1" x14ac:dyDescent="0.15">
      <c r="A44" t="s">
        <v>280</v>
      </c>
      <c r="B44" t="s">
        <v>281</v>
      </c>
      <c r="C44" t="s">
        <v>282</v>
      </c>
      <c r="D44" t="s">
        <v>611</v>
      </c>
      <c r="E44" s="1"/>
      <c r="F44" s="1"/>
      <c r="G44" s="1"/>
      <c r="H44" s="1"/>
      <c r="I44" s="1" t="str">
        <f>S43&amp;".1"</f>
        <v>...1</v>
      </c>
      <c r="P44" s="1">
        <v>1</v>
      </c>
      <c r="S44" t="str">
        <f>$I44</f>
        <v>...1</v>
      </c>
      <c r="T44" t="s">
        <v>598</v>
      </c>
      <c r="V44" s="1"/>
      <c r="W44" s="1"/>
      <c r="X44" s="1"/>
      <c r="Y44" s="1"/>
      <c r="Z44" s="1"/>
      <c r="AA44" s="1"/>
      <c r="AB44" s="1"/>
      <c r="AC44" s="1"/>
      <c r="AD44" s="1"/>
      <c r="AE44" s="1"/>
      <c r="AF44" s="1"/>
      <c r="AG44" s="1"/>
      <c r="AH44" s="1"/>
      <c r="AI44" s="1"/>
      <c r="AJ44" s="1"/>
      <c r="AK44" t="s">
        <v>599</v>
      </c>
      <c r="AN44" t="str">
        <f t="shared" si="1"/>
        <v>Наименование признака дифференциации</v>
      </c>
      <c r="AQ44">
        <v>23</v>
      </c>
    </row>
    <row r="45" spans="1:43" ht="24" customHeight="1" x14ac:dyDescent="0.15">
      <c r="A45" t="s">
        <v>280</v>
      </c>
      <c r="B45" t="s">
        <v>281</v>
      </c>
      <c r="C45" t="s">
        <v>282</v>
      </c>
      <c r="D45" t="s">
        <v>611</v>
      </c>
      <c r="E45" s="1"/>
      <c r="F45" s="1"/>
      <c r="G45" s="1"/>
      <c r="H45" s="1"/>
      <c r="I45" s="1"/>
      <c r="J45" s="1" t="str">
        <f>I44&amp;".1"</f>
        <v>...1.1</v>
      </c>
      <c r="L45" t="s">
        <v>524</v>
      </c>
      <c r="P45" s="1"/>
      <c r="Q45" s="1">
        <v>1</v>
      </c>
      <c r="S45" t="str">
        <f>$J45</f>
        <v>...1.1</v>
      </c>
      <c r="T45" t="s">
        <v>525</v>
      </c>
      <c r="V45" s="1"/>
      <c r="W45" s="1"/>
      <c r="X45" s="1"/>
      <c r="Y45" s="1"/>
      <c r="Z45" s="1"/>
      <c r="AA45" s="1"/>
      <c r="AB45" s="1"/>
      <c r="AC45" s="1"/>
      <c r="AD45" s="1"/>
      <c r="AE45" s="1"/>
      <c r="AF45" s="1"/>
      <c r="AG45" s="1"/>
      <c r="AH45" s="1"/>
      <c r="AI45" s="1"/>
      <c r="AJ45" s="1"/>
      <c r="AK45" t="s">
        <v>600</v>
      </c>
      <c r="AN45" t="str">
        <f t="shared" si="1"/>
        <v>Группа потребителей</v>
      </c>
      <c r="AQ45">
        <v>23</v>
      </c>
    </row>
    <row r="46" spans="1:43" ht="24" customHeight="1" x14ac:dyDescent="0.15">
      <c r="A46" t="s">
        <v>280</v>
      </c>
      <c r="B46" t="s">
        <v>281</v>
      </c>
      <c r="C46" t="s">
        <v>282</v>
      </c>
      <c r="D46" t="s">
        <v>611</v>
      </c>
      <c r="E46" s="1"/>
      <c r="F46" s="1"/>
      <c r="G46" s="1"/>
      <c r="H46" s="1"/>
      <c r="I46" s="1"/>
      <c r="J46" s="1"/>
      <c r="K46" s="1" t="str">
        <f>J45&amp;".1"</f>
        <v>...1.1.1</v>
      </c>
      <c r="P46" s="1"/>
      <c r="Q46" s="1"/>
      <c r="R46">
        <v>1</v>
      </c>
      <c r="S46" t="str">
        <f>$K46</f>
        <v>...1.1.1</v>
      </c>
      <c r="Y46" s="1"/>
      <c r="Z46" s="1" t="s">
        <v>63</v>
      </c>
      <c r="AA46" s="1"/>
      <c r="AB46" s="1" t="s">
        <v>63</v>
      </c>
      <c r="AF46" s="1"/>
      <c r="AG46" s="1" t="s">
        <v>63</v>
      </c>
      <c r="AH46" s="1"/>
      <c r="AI46" s="1" t="s">
        <v>63</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280</v>
      </c>
      <c r="B47" t="s">
        <v>281</v>
      </c>
      <c r="C47" t="s">
        <v>282</v>
      </c>
      <c r="D47" t="s">
        <v>611</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280</v>
      </c>
      <c r="B48" t="s">
        <v>281</v>
      </c>
      <c r="C48" t="s">
        <v>282</v>
      </c>
      <c r="D48" t="s">
        <v>611</v>
      </c>
      <c r="E48" s="1"/>
      <c r="F48" s="1"/>
      <c r="G48" s="1"/>
      <c r="H48" s="1"/>
      <c r="I48" s="1"/>
      <c r="J48" s="1"/>
      <c r="P48" s="1"/>
      <c r="Q48" s="1"/>
      <c r="T48" t="s">
        <v>601</v>
      </c>
      <c r="AK48" t="s">
        <v>602</v>
      </c>
      <c r="AN48" t="str">
        <f t="shared" si="1"/>
        <v>Добавить значение признака дифференциации</v>
      </c>
      <c r="AQ48">
        <v>20</v>
      </c>
    </row>
    <row r="49" spans="1:43" ht="21.95" customHeight="1" x14ac:dyDescent="0.15">
      <c r="A49" t="s">
        <v>280</v>
      </c>
      <c r="B49" t="s">
        <v>281</v>
      </c>
      <c r="C49" t="s">
        <v>282</v>
      </c>
      <c r="D49" t="s">
        <v>611</v>
      </c>
      <c r="E49" s="1"/>
      <c r="F49" s="1"/>
      <c r="G49" s="1"/>
      <c r="H49" s="1"/>
      <c r="I49" s="1"/>
      <c r="P49" s="1"/>
      <c r="T49" t="s">
        <v>530</v>
      </c>
      <c r="AN49" t="str">
        <f t="shared" si="1"/>
        <v>Добавить группу потребителей</v>
      </c>
      <c r="AQ49">
        <v>21</v>
      </c>
    </row>
    <row r="50" spans="1:43" ht="21.95" customHeight="1" x14ac:dyDescent="0.15">
      <c r="A50" t="s">
        <v>280</v>
      </c>
      <c r="B50" t="s">
        <v>281</v>
      </c>
      <c r="C50" t="s">
        <v>282</v>
      </c>
      <c r="D50" t="s">
        <v>611</v>
      </c>
      <c r="E50" s="1"/>
      <c r="F50" s="1"/>
      <c r="G50" s="1"/>
      <c r="H50" s="1"/>
      <c r="T50" t="s">
        <v>603</v>
      </c>
      <c r="AN50" t="str">
        <f t="shared" si="1"/>
        <v>Добавить наименование признака дифференциации</v>
      </c>
      <c r="AQ50">
        <v>21</v>
      </c>
    </row>
    <row r="51" spans="1:43" ht="0" hidden="1" customHeight="1" x14ac:dyDescent="0.15">
      <c r="A51" t="s">
        <v>280</v>
      </c>
      <c r="B51" t="s">
        <v>281</v>
      </c>
      <c r="E51" s="1"/>
      <c r="F51" s="1"/>
      <c r="T51" t="s">
        <v>321</v>
      </c>
      <c r="AN51" t="str">
        <f t="shared" si="1"/>
        <v>Добавить централизованную систему для дифференциации</v>
      </c>
      <c r="AQ51">
        <v>0</v>
      </c>
    </row>
    <row r="52" spans="1:43" ht="0" hidden="1" customHeight="1" x14ac:dyDescent="0.15">
      <c r="A52" t="s">
        <v>280</v>
      </c>
      <c r="E52" s="1"/>
      <c r="T52" t="s">
        <v>385</v>
      </c>
      <c r="AN52" t="str">
        <f t="shared" si="1"/>
        <v>Добавить территорию для дифференциации</v>
      </c>
      <c r="AQ52">
        <v>0</v>
      </c>
    </row>
    <row r="53" spans="1:43" ht="0" hidden="1" customHeight="1" x14ac:dyDescent="0.15">
      <c r="T53" t="s">
        <v>386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596</v>
      </c>
      <c r="V4" s="1"/>
      <c r="W4" s="1"/>
      <c r="X4" s="1"/>
      <c r="Y4" s="1"/>
      <c r="Z4" s="1"/>
      <c r="AA4" s="1"/>
      <c r="AB4" s="1"/>
      <c r="AC4" s="1" t="e">
        <f>INDEX(PT_DIFFERENTIATION_CS,MATCH(C4,PT_DIFFERENTIATION_CS_ID,0))</f>
        <v>#N/A</v>
      </c>
      <c r="AD4" s="1"/>
      <c r="AE4" s="1"/>
      <c r="AF4" s="1"/>
      <c r="AG4" s="1"/>
      <c r="AH4" s="1"/>
      <c r="AI4" s="1"/>
      <c r="AJ4" s="1"/>
      <c r="AK4" t="s">
        <v>597</v>
      </c>
      <c r="AN4" t="str">
        <f t="shared" si="0"/>
        <v>Наименование централизованной системы холодного водоснабжения</v>
      </c>
      <c r="AQ4">
        <v>0</v>
      </c>
    </row>
    <row r="5" spans="5:43"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t="s">
        <v>599</v>
      </c>
      <c r="AN5" t="str">
        <f t="shared" si="0"/>
        <v>Наименование признака дифференциации</v>
      </c>
      <c r="AQ5">
        <v>0</v>
      </c>
    </row>
    <row r="6" spans="5:43"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t="s">
        <v>600</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601</v>
      </c>
      <c r="AK9" t="s">
        <v>602</v>
      </c>
      <c r="AN9" t="str">
        <f t="shared" si="0"/>
        <v>Добавить значение признака дифференциации</v>
      </c>
      <c r="AQ9">
        <v>0</v>
      </c>
    </row>
    <row r="10" spans="5:43" ht="21" hidden="1" customHeight="1" x14ac:dyDescent="0.15">
      <c r="E10" s="1"/>
      <c r="F10" s="1"/>
      <c r="G10" s="1"/>
      <c r="H10" s="1"/>
      <c r="I10" s="1"/>
      <c r="P10" s="1"/>
      <c r="T10" t="s">
        <v>530</v>
      </c>
      <c r="AN10" t="str">
        <f t="shared" si="0"/>
        <v>Добавить группу потребителей</v>
      </c>
      <c r="AQ10">
        <v>0</v>
      </c>
    </row>
    <row r="11" spans="5:43" ht="21" hidden="1" customHeight="1" x14ac:dyDescent="0.15">
      <c r="E11" s="1"/>
      <c r="F11" s="1"/>
      <c r="G11" s="1"/>
      <c r="H11" s="1"/>
      <c r="T11" t="s">
        <v>603</v>
      </c>
      <c r="AN11" t="str">
        <f t="shared" si="0"/>
        <v>Добавить наименование признака дифференциации</v>
      </c>
      <c r="AQ11">
        <v>0</v>
      </c>
    </row>
    <row r="12" spans="5:43" ht="14.25" hidden="1" customHeight="1" x14ac:dyDescent="0.15">
      <c r="E12" s="1"/>
      <c r="F12" s="1"/>
      <c r="T12" t="s">
        <v>321</v>
      </c>
      <c r="AN12" t="str">
        <f t="shared" si="0"/>
        <v>Добавить централизованную систему для дифференциации</v>
      </c>
      <c r="AQ12">
        <v>0</v>
      </c>
    </row>
    <row r="13" spans="5:43" ht="14.25" hidden="1" customHeight="1" x14ac:dyDescent="0.15">
      <c r="E13" s="1"/>
      <c r="T13" t="s">
        <v>385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533</v>
      </c>
      <c r="AQ18">
        <v>0</v>
      </c>
    </row>
    <row r="19" spans="15:43" ht="14.25" hidden="1" customHeight="1" x14ac:dyDescent="0.15">
      <c r="AQ19">
        <v>0</v>
      </c>
    </row>
    <row r="20" spans="15:43" ht="12" hidden="1" customHeight="1" x14ac:dyDescent="0.15">
      <c r="O20" t="s">
        <v>534</v>
      </c>
      <c r="T20" t="s">
        <v>535</v>
      </c>
      <c r="Z20" t="s">
        <v>536</v>
      </c>
      <c r="AB20" t="s">
        <v>537</v>
      </c>
      <c r="AC20" t="s">
        <v>535</v>
      </c>
      <c r="AG20" t="s">
        <v>538</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Q28">
        <v>0</v>
      </c>
    </row>
    <row r="29" spans="15:43"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Q32">
        <v>0</v>
      </c>
    </row>
    <row r="33" spans="1:43"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543</v>
      </c>
      <c r="AI34" t="s">
        <v>543</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548</v>
      </c>
      <c r="AK37" s="1"/>
      <c r="AQ37">
        <v>14</v>
      </c>
    </row>
    <row r="38" spans="1:43" ht="35.65" customHeight="1" x14ac:dyDescent="0.15">
      <c r="S38" s="1"/>
      <c r="T38" s="1"/>
      <c r="V38" t="s">
        <v>604</v>
      </c>
      <c r="W38" s="1" t="s">
        <v>551</v>
      </c>
      <c r="X38" s="1"/>
      <c r="Y38" s="1" t="s">
        <v>552</v>
      </c>
      <c r="Z38" s="1"/>
      <c r="AA38" s="1"/>
      <c r="AB38" s="1"/>
      <c r="AC38" t="s">
        <v>604</v>
      </c>
      <c r="AD38" s="1" t="s">
        <v>551</v>
      </c>
      <c r="AE38" s="1"/>
      <c r="AF38" s="1" t="s">
        <v>552</v>
      </c>
      <c r="AG38" s="1"/>
      <c r="AH38" s="1"/>
      <c r="AI38" s="1"/>
      <c r="AJ38" s="1"/>
      <c r="AK38" s="1"/>
      <c r="AQ38">
        <v>34</v>
      </c>
    </row>
    <row r="39" spans="1:43" ht="35.65" customHeight="1" x14ac:dyDescent="0.15">
      <c r="B39" t="s">
        <v>191</v>
      </c>
      <c r="C39" t="s">
        <v>192</v>
      </c>
      <c r="D39" t="s">
        <v>193</v>
      </c>
      <c r="E39" t="s">
        <v>553</v>
      </c>
      <c r="F39" t="s">
        <v>554</v>
      </c>
      <c r="G39" t="s">
        <v>555</v>
      </c>
      <c r="I39" t="s">
        <v>605</v>
      </c>
      <c r="J39" t="s">
        <v>558</v>
      </c>
      <c r="K39" t="s">
        <v>606</v>
      </c>
      <c r="L39" t="s">
        <v>534</v>
      </c>
      <c r="S39" s="1"/>
      <c r="T39" s="1"/>
      <c r="V39" t="s">
        <v>607</v>
      </c>
      <c r="W39" t="s">
        <v>608</v>
      </c>
      <c r="X39" t="s">
        <v>609</v>
      </c>
      <c r="Y39" t="s">
        <v>562</v>
      </c>
      <c r="Z39" s="1" t="s">
        <v>563</v>
      </c>
      <c r="AA39" s="1"/>
      <c r="AB39" s="1"/>
      <c r="AC39" t="s">
        <v>607</v>
      </c>
      <c r="AD39" t="s">
        <v>608</v>
      </c>
      <c r="AE39" t="s">
        <v>609</v>
      </c>
      <c r="AF39" t="s">
        <v>562</v>
      </c>
      <c r="AG39" s="1" t="s">
        <v>563</v>
      </c>
      <c r="AH39" s="1"/>
      <c r="AI39" s="1"/>
      <c r="AJ39" s="1"/>
      <c r="AK39" s="1"/>
      <c r="AQ39">
        <v>34</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285</v>
      </c>
      <c r="E41" s="1">
        <v>1</v>
      </c>
      <c r="S41">
        <f>INDEX(PT_DIFFERENTIATION_NUM_NTAR,MATCH(A41,PT_DIFFERENTIATION_NTAR_ID,0))</f>
        <v>0</v>
      </c>
      <c r="T41" t="s">
        <v>179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285</v>
      </c>
      <c r="B42" t="s">
        <v>286</v>
      </c>
      <c r="E42" s="1"/>
      <c r="F42" s="1">
        <v>1</v>
      </c>
      <c r="S42" t="str">
        <f>INDEX(PT_DIFFERENTIATION_NUM_TER,MATCH(B42,PT_DIFFERENTIATION_TER_ID,0))</f>
        <v>.</v>
      </c>
      <c r="T42" t="s">
        <v>515</v>
      </c>
      <c r="V42" s="1"/>
      <c r="W42" s="1"/>
      <c r="X42" s="1"/>
      <c r="Y42" s="1"/>
      <c r="Z42" s="1"/>
      <c r="AA42" s="1"/>
      <c r="AB42" s="1"/>
      <c r="AC42" s="1" t="str">
        <f>INDEX(PT_DIFFERENTIATION_TER,MATCH(B42,PT_DIFFERENTIATION_TER_ID,0))</f>
        <v/>
      </c>
      <c r="AD42" s="1"/>
      <c r="AE42" s="1"/>
      <c r="AF42" s="1"/>
      <c r="AG42" s="1"/>
      <c r="AH42" s="1"/>
      <c r="AI42" s="1"/>
      <c r="AJ42" s="1"/>
      <c r="AK42" t="s">
        <v>516</v>
      </c>
      <c r="AN42" t="str">
        <f t="shared" si="1"/>
        <v>Территория действия тарифа</v>
      </c>
      <c r="AQ42">
        <v>23</v>
      </c>
    </row>
    <row r="43" spans="1:43" ht="24" customHeight="1" x14ac:dyDescent="0.15">
      <c r="A43" t="s">
        <v>285</v>
      </c>
      <c r="B43" t="s">
        <v>286</v>
      </c>
      <c r="C43" t="s">
        <v>287</v>
      </c>
      <c r="E43" s="1"/>
      <c r="F43" s="1"/>
      <c r="G43" s="1">
        <v>1</v>
      </c>
      <c r="S43" t="str">
        <f>INDEX(PT_DIFFERENTIATION_NUM_CS,MATCH(C43,PT_DIFFERENTIATION_CS_ID,0))</f>
        <v>..</v>
      </c>
      <c r="T43" t="s">
        <v>596</v>
      </c>
      <c r="V43" s="1"/>
      <c r="W43" s="1"/>
      <c r="X43" s="1"/>
      <c r="Y43" s="1"/>
      <c r="Z43" s="1"/>
      <c r="AA43" s="1"/>
      <c r="AB43" s="1"/>
      <c r="AC43" s="1" t="str">
        <f>INDEX(PT_DIFFERENTIATION_CS,MATCH(C43,PT_DIFFERENTIATION_CS_ID,0))</f>
        <v/>
      </c>
      <c r="AD43" s="1"/>
      <c r="AE43" s="1"/>
      <c r="AF43" s="1"/>
      <c r="AG43" s="1"/>
      <c r="AH43" s="1"/>
      <c r="AI43" s="1"/>
      <c r="AJ43" s="1"/>
      <c r="AK43" t="s">
        <v>597</v>
      </c>
      <c r="AN43" t="str">
        <f t="shared" si="1"/>
        <v>Наименование централизованной системы холодного водоснабжения</v>
      </c>
      <c r="AQ43">
        <v>23</v>
      </c>
    </row>
    <row r="44" spans="1:43" ht="24" customHeight="1" x14ac:dyDescent="0.15">
      <c r="A44" t="s">
        <v>285</v>
      </c>
      <c r="B44" t="s">
        <v>286</v>
      </c>
      <c r="C44" t="s">
        <v>287</v>
      </c>
      <c r="D44" t="s">
        <v>612</v>
      </c>
      <c r="E44" s="1"/>
      <c r="F44" s="1"/>
      <c r="G44" s="1"/>
      <c r="H44" s="1"/>
      <c r="I44" s="1" t="str">
        <f>S43&amp;".1"</f>
        <v>...1</v>
      </c>
      <c r="P44" s="1">
        <v>1</v>
      </c>
      <c r="S44" t="str">
        <f>$I44</f>
        <v>...1</v>
      </c>
      <c r="T44" t="s">
        <v>598</v>
      </c>
      <c r="V44" s="1"/>
      <c r="W44" s="1"/>
      <c r="X44" s="1"/>
      <c r="Y44" s="1"/>
      <c r="Z44" s="1"/>
      <c r="AA44" s="1"/>
      <c r="AB44" s="1"/>
      <c r="AC44" s="1"/>
      <c r="AD44" s="1"/>
      <c r="AE44" s="1"/>
      <c r="AF44" s="1"/>
      <c r="AG44" s="1"/>
      <c r="AH44" s="1"/>
      <c r="AI44" s="1"/>
      <c r="AJ44" s="1"/>
      <c r="AK44" t="s">
        <v>599</v>
      </c>
      <c r="AN44" t="str">
        <f t="shared" si="1"/>
        <v>Наименование признака дифференциации</v>
      </c>
      <c r="AQ44">
        <v>23</v>
      </c>
    </row>
    <row r="45" spans="1:43" ht="24" customHeight="1" x14ac:dyDescent="0.15">
      <c r="A45" t="s">
        <v>285</v>
      </c>
      <c r="B45" t="s">
        <v>286</v>
      </c>
      <c r="C45" t="s">
        <v>287</v>
      </c>
      <c r="D45" t="s">
        <v>612</v>
      </c>
      <c r="E45" s="1"/>
      <c r="F45" s="1"/>
      <c r="G45" s="1"/>
      <c r="H45" s="1"/>
      <c r="I45" s="1"/>
      <c r="J45" s="1" t="str">
        <f>I44&amp;".1"</f>
        <v>...1.1</v>
      </c>
      <c r="L45" t="s">
        <v>524</v>
      </c>
      <c r="P45" s="1"/>
      <c r="Q45" s="1">
        <v>1</v>
      </c>
      <c r="S45" t="str">
        <f>$J45</f>
        <v>...1.1</v>
      </c>
      <c r="T45" t="s">
        <v>525</v>
      </c>
      <c r="V45" s="1"/>
      <c r="W45" s="1"/>
      <c r="X45" s="1"/>
      <c r="Y45" s="1"/>
      <c r="Z45" s="1"/>
      <c r="AA45" s="1"/>
      <c r="AB45" s="1"/>
      <c r="AC45" s="1"/>
      <c r="AD45" s="1"/>
      <c r="AE45" s="1"/>
      <c r="AF45" s="1"/>
      <c r="AG45" s="1"/>
      <c r="AH45" s="1"/>
      <c r="AI45" s="1"/>
      <c r="AJ45" s="1"/>
      <c r="AK45" t="s">
        <v>600</v>
      </c>
      <c r="AN45" t="str">
        <f t="shared" si="1"/>
        <v>Группа потребителей</v>
      </c>
      <c r="AQ45">
        <v>23</v>
      </c>
    </row>
    <row r="46" spans="1:43" ht="24" customHeight="1" x14ac:dyDescent="0.15">
      <c r="A46" t="s">
        <v>285</v>
      </c>
      <c r="B46" t="s">
        <v>286</v>
      </c>
      <c r="C46" t="s">
        <v>287</v>
      </c>
      <c r="D46" t="s">
        <v>612</v>
      </c>
      <c r="E46" s="1"/>
      <c r="F46" s="1"/>
      <c r="G46" s="1"/>
      <c r="H46" s="1"/>
      <c r="I46" s="1"/>
      <c r="J46" s="1"/>
      <c r="K46" s="1" t="str">
        <f>J45&amp;".1"</f>
        <v>...1.1.1</v>
      </c>
      <c r="P46" s="1"/>
      <c r="Q46" s="1"/>
      <c r="R46">
        <v>1</v>
      </c>
      <c r="S46" t="str">
        <f>$K46</f>
        <v>...1.1.1</v>
      </c>
      <c r="Y46" s="1"/>
      <c r="Z46" s="1" t="s">
        <v>63</v>
      </c>
      <c r="AA46" s="1"/>
      <c r="AB46" s="1" t="s">
        <v>63</v>
      </c>
      <c r="AF46" s="1"/>
      <c r="AG46" s="1" t="s">
        <v>63</v>
      </c>
      <c r="AH46" s="1"/>
      <c r="AI46" s="1" t="s">
        <v>63</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285</v>
      </c>
      <c r="B47" t="s">
        <v>286</v>
      </c>
      <c r="C47" t="s">
        <v>287</v>
      </c>
      <c r="D47" t="s">
        <v>612</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285</v>
      </c>
      <c r="B48" t="s">
        <v>286</v>
      </c>
      <c r="C48" t="s">
        <v>287</v>
      </c>
      <c r="D48" t="s">
        <v>612</v>
      </c>
      <c r="E48" s="1"/>
      <c r="F48" s="1"/>
      <c r="G48" s="1"/>
      <c r="H48" s="1"/>
      <c r="I48" s="1"/>
      <c r="J48" s="1"/>
      <c r="P48" s="1"/>
      <c r="Q48" s="1"/>
      <c r="T48" t="s">
        <v>601</v>
      </c>
      <c r="AK48" t="s">
        <v>602</v>
      </c>
      <c r="AN48" t="str">
        <f t="shared" si="1"/>
        <v>Добавить значение признака дифференциации</v>
      </c>
      <c r="AQ48">
        <v>20</v>
      </c>
    </row>
    <row r="49" spans="1:43" ht="21.95" customHeight="1" x14ac:dyDescent="0.15">
      <c r="A49" t="s">
        <v>285</v>
      </c>
      <c r="B49" t="s">
        <v>286</v>
      </c>
      <c r="C49" t="s">
        <v>287</v>
      </c>
      <c r="D49" t="s">
        <v>612</v>
      </c>
      <c r="E49" s="1"/>
      <c r="F49" s="1"/>
      <c r="G49" s="1"/>
      <c r="H49" s="1"/>
      <c r="I49" s="1"/>
      <c r="P49" s="1"/>
      <c r="T49" t="s">
        <v>530</v>
      </c>
      <c r="AN49" t="str">
        <f t="shared" si="1"/>
        <v>Добавить группу потребителей</v>
      </c>
      <c r="AQ49">
        <v>21</v>
      </c>
    </row>
    <row r="50" spans="1:43" ht="21.95" customHeight="1" x14ac:dyDescent="0.15">
      <c r="A50" t="s">
        <v>285</v>
      </c>
      <c r="B50" t="s">
        <v>286</v>
      </c>
      <c r="C50" t="s">
        <v>287</v>
      </c>
      <c r="D50" t="s">
        <v>612</v>
      </c>
      <c r="E50" s="1"/>
      <c r="F50" s="1"/>
      <c r="G50" s="1"/>
      <c r="H50" s="1"/>
      <c r="T50" t="s">
        <v>603</v>
      </c>
      <c r="AN50" t="str">
        <f t="shared" si="1"/>
        <v>Добавить наименование признака дифференциации</v>
      </c>
      <c r="AQ50">
        <v>21</v>
      </c>
    </row>
    <row r="51" spans="1:43" ht="0" hidden="1" customHeight="1" x14ac:dyDescent="0.15">
      <c r="A51" t="s">
        <v>285</v>
      </c>
      <c r="B51" t="s">
        <v>286</v>
      </c>
      <c r="E51" s="1"/>
      <c r="F51" s="1"/>
      <c r="T51" t="s">
        <v>321</v>
      </c>
      <c r="AN51" t="str">
        <f t="shared" si="1"/>
        <v>Добавить централизованную систему для дифференциации</v>
      </c>
      <c r="AQ51">
        <v>0</v>
      </c>
    </row>
    <row r="52" spans="1:43" ht="0" hidden="1" customHeight="1" x14ac:dyDescent="0.15">
      <c r="A52" t="s">
        <v>285</v>
      </c>
      <c r="E52" s="1"/>
      <c r="T52" t="s">
        <v>385</v>
      </c>
      <c r="AN52" t="str">
        <f t="shared" si="1"/>
        <v>Добавить территорию для дифференциации</v>
      </c>
      <c r="AQ52">
        <v>0</v>
      </c>
    </row>
    <row r="53" spans="1:43" ht="0" hidden="1" customHeight="1" x14ac:dyDescent="0.15">
      <c r="T53" t="s">
        <v>386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596</v>
      </c>
      <c r="V4" s="1"/>
      <c r="W4" s="1"/>
      <c r="X4" s="1"/>
      <c r="Y4" s="1"/>
      <c r="Z4" s="1"/>
      <c r="AA4" s="1"/>
      <c r="AB4" s="1"/>
      <c r="AC4" s="1" t="e">
        <f>INDEX(PT_DIFFERENTIATION_CS,MATCH(C4,PT_DIFFERENTIATION_CS_ID,0))</f>
        <v>#N/A</v>
      </c>
      <c r="AD4" s="1"/>
      <c r="AE4" s="1"/>
      <c r="AF4" s="1"/>
      <c r="AG4" s="1"/>
      <c r="AH4" s="1"/>
      <c r="AI4" s="1"/>
      <c r="AJ4" s="1"/>
      <c r="AK4" t="s">
        <v>597</v>
      </c>
      <c r="AN4" t="str">
        <f t="shared" si="0"/>
        <v>Наименование централизованной системы холодного водоснабжения</v>
      </c>
      <c r="AQ4">
        <v>0</v>
      </c>
    </row>
    <row r="5" spans="5:43"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t="s">
        <v>599</v>
      </c>
      <c r="AN5" t="str">
        <f t="shared" si="0"/>
        <v>Наименование признака дифференциации</v>
      </c>
      <c r="AQ5">
        <v>0</v>
      </c>
    </row>
    <row r="6" spans="5:43"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t="s">
        <v>600</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601</v>
      </c>
      <c r="AK9" t="s">
        <v>602</v>
      </c>
      <c r="AN9" t="str">
        <f t="shared" si="0"/>
        <v>Добавить значение признака дифференциации</v>
      </c>
      <c r="AQ9">
        <v>0</v>
      </c>
    </row>
    <row r="10" spans="5:43" ht="21" hidden="1" customHeight="1" x14ac:dyDescent="0.15">
      <c r="E10" s="1"/>
      <c r="F10" s="1"/>
      <c r="G10" s="1"/>
      <c r="H10" s="1"/>
      <c r="I10" s="1"/>
      <c r="P10" s="1"/>
      <c r="T10" t="s">
        <v>530</v>
      </c>
      <c r="AN10" t="str">
        <f t="shared" si="0"/>
        <v>Добавить группу потребителей</v>
      </c>
      <c r="AQ10">
        <v>0</v>
      </c>
    </row>
    <row r="11" spans="5:43" ht="21" hidden="1" customHeight="1" x14ac:dyDescent="0.15">
      <c r="E11" s="1"/>
      <c r="F11" s="1"/>
      <c r="G11" s="1"/>
      <c r="H11" s="1"/>
      <c r="T11" t="s">
        <v>603</v>
      </c>
      <c r="AN11" t="str">
        <f t="shared" si="0"/>
        <v>Добавить наименование признака дифференциации</v>
      </c>
      <c r="AQ11">
        <v>0</v>
      </c>
    </row>
    <row r="12" spans="5:43" ht="14.25" hidden="1" customHeight="1" x14ac:dyDescent="0.15">
      <c r="E12" s="1"/>
      <c r="F12" s="1"/>
      <c r="T12" t="s">
        <v>321</v>
      </c>
      <c r="AN12" t="str">
        <f t="shared" si="0"/>
        <v>Добавить централизованную систему для дифференциации</v>
      </c>
      <c r="AQ12">
        <v>0</v>
      </c>
    </row>
    <row r="13" spans="5:43" ht="14.25" hidden="1" customHeight="1" x14ac:dyDescent="0.15">
      <c r="E13" s="1"/>
      <c r="T13" t="s">
        <v>385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533</v>
      </c>
      <c r="AQ18">
        <v>0</v>
      </c>
    </row>
    <row r="19" spans="15:43" ht="14.25" hidden="1" customHeight="1" x14ac:dyDescent="0.15">
      <c r="AQ19">
        <v>0</v>
      </c>
    </row>
    <row r="20" spans="15:43" ht="12" hidden="1" customHeight="1" x14ac:dyDescent="0.15">
      <c r="O20" t="s">
        <v>534</v>
      </c>
      <c r="T20" t="s">
        <v>535</v>
      </c>
      <c r="Z20" t="s">
        <v>536</v>
      </c>
      <c r="AB20" t="s">
        <v>537</v>
      </c>
      <c r="AC20" t="s">
        <v>535</v>
      </c>
      <c r="AG20" t="s">
        <v>538</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Q28">
        <v>0</v>
      </c>
    </row>
    <row r="29" spans="15:43"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Q32">
        <v>0</v>
      </c>
    </row>
    <row r="33" spans="1:43"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543</v>
      </c>
      <c r="AI34" t="s">
        <v>543</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548</v>
      </c>
      <c r="AK37" s="1"/>
      <c r="AQ37">
        <v>14</v>
      </c>
    </row>
    <row r="38" spans="1:43" ht="35.65" customHeight="1" x14ac:dyDescent="0.15">
      <c r="S38" s="1"/>
      <c r="T38" s="1"/>
      <c r="V38" t="s">
        <v>604</v>
      </c>
      <c r="W38" s="1" t="s">
        <v>551</v>
      </c>
      <c r="X38" s="1"/>
      <c r="Y38" s="1" t="s">
        <v>552</v>
      </c>
      <c r="Z38" s="1"/>
      <c r="AA38" s="1"/>
      <c r="AB38" s="1"/>
      <c r="AC38" t="s">
        <v>604</v>
      </c>
      <c r="AD38" s="1" t="s">
        <v>551</v>
      </c>
      <c r="AE38" s="1"/>
      <c r="AF38" s="1" t="s">
        <v>552</v>
      </c>
      <c r="AG38" s="1"/>
      <c r="AH38" s="1"/>
      <c r="AI38" s="1"/>
      <c r="AJ38" s="1"/>
      <c r="AK38" s="1"/>
      <c r="AQ38">
        <v>34</v>
      </c>
    </row>
    <row r="39" spans="1:43" ht="35.65" customHeight="1" x14ac:dyDescent="0.15">
      <c r="B39" t="s">
        <v>191</v>
      </c>
      <c r="C39" t="s">
        <v>192</v>
      </c>
      <c r="D39" t="s">
        <v>193</v>
      </c>
      <c r="E39" t="s">
        <v>553</v>
      </c>
      <c r="F39" t="s">
        <v>554</v>
      </c>
      <c r="G39" t="s">
        <v>555</v>
      </c>
      <c r="I39" t="s">
        <v>605</v>
      </c>
      <c r="J39" t="s">
        <v>558</v>
      </c>
      <c r="K39" t="s">
        <v>606</v>
      </c>
      <c r="L39" t="s">
        <v>534</v>
      </c>
      <c r="S39" s="1"/>
      <c r="T39" s="1"/>
      <c r="V39" t="s">
        <v>607</v>
      </c>
      <c r="W39" t="s">
        <v>608</v>
      </c>
      <c r="X39" t="s">
        <v>609</v>
      </c>
      <c r="Y39" t="s">
        <v>562</v>
      </c>
      <c r="Z39" s="1" t="s">
        <v>563</v>
      </c>
      <c r="AA39" s="1"/>
      <c r="AB39" s="1"/>
      <c r="AC39" t="s">
        <v>607</v>
      </c>
      <c r="AD39" t="s">
        <v>608</v>
      </c>
      <c r="AE39" t="s">
        <v>609</v>
      </c>
      <c r="AF39" t="s">
        <v>562</v>
      </c>
      <c r="AG39" s="1" t="s">
        <v>563</v>
      </c>
      <c r="AH39" s="1"/>
      <c r="AI39" s="1"/>
      <c r="AJ39" s="1"/>
      <c r="AK39" s="1"/>
      <c r="AQ39">
        <v>34</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290</v>
      </c>
      <c r="E41" s="1">
        <v>1</v>
      </c>
      <c r="S41">
        <f>INDEX(PT_DIFFERENTIATION_NUM_NTAR,MATCH(A41,PT_DIFFERENTIATION_NTAR_ID,0))</f>
        <v>0</v>
      </c>
      <c r="T41" t="s">
        <v>179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290</v>
      </c>
      <c r="B42" t="s">
        <v>291</v>
      </c>
      <c r="E42" s="1"/>
      <c r="F42" s="1">
        <v>1</v>
      </c>
      <c r="S42" t="str">
        <f>INDEX(PT_DIFFERENTIATION_NUM_TER,MATCH(B42,PT_DIFFERENTIATION_TER_ID,0))</f>
        <v>.</v>
      </c>
      <c r="T42" t="s">
        <v>515</v>
      </c>
      <c r="V42" s="1"/>
      <c r="W42" s="1"/>
      <c r="X42" s="1"/>
      <c r="Y42" s="1"/>
      <c r="Z42" s="1"/>
      <c r="AA42" s="1"/>
      <c r="AB42" s="1"/>
      <c r="AC42" s="1" t="str">
        <f>INDEX(PT_DIFFERENTIATION_TER,MATCH(B42,PT_DIFFERENTIATION_TER_ID,0))</f>
        <v/>
      </c>
      <c r="AD42" s="1"/>
      <c r="AE42" s="1"/>
      <c r="AF42" s="1"/>
      <c r="AG42" s="1"/>
      <c r="AH42" s="1"/>
      <c r="AI42" s="1"/>
      <c r="AJ42" s="1"/>
      <c r="AK42" t="s">
        <v>516</v>
      </c>
      <c r="AN42" t="str">
        <f t="shared" si="1"/>
        <v>Территория действия тарифа</v>
      </c>
      <c r="AQ42">
        <v>23</v>
      </c>
    </row>
    <row r="43" spans="1:43" ht="24" customHeight="1" x14ac:dyDescent="0.15">
      <c r="A43" t="s">
        <v>290</v>
      </c>
      <c r="B43" t="s">
        <v>291</v>
      </c>
      <c r="C43" t="s">
        <v>292</v>
      </c>
      <c r="E43" s="1"/>
      <c r="F43" s="1"/>
      <c r="G43" s="1">
        <v>1</v>
      </c>
      <c r="S43" t="str">
        <f>INDEX(PT_DIFFERENTIATION_NUM_CS,MATCH(C43,PT_DIFFERENTIATION_CS_ID,0))</f>
        <v>..</v>
      </c>
      <c r="T43" t="s">
        <v>596</v>
      </c>
      <c r="V43" s="1"/>
      <c r="W43" s="1"/>
      <c r="X43" s="1"/>
      <c r="Y43" s="1"/>
      <c r="Z43" s="1"/>
      <c r="AA43" s="1"/>
      <c r="AB43" s="1"/>
      <c r="AC43" s="1" t="str">
        <f>INDEX(PT_DIFFERENTIATION_CS,MATCH(C43,PT_DIFFERENTIATION_CS_ID,0))</f>
        <v/>
      </c>
      <c r="AD43" s="1"/>
      <c r="AE43" s="1"/>
      <c r="AF43" s="1"/>
      <c r="AG43" s="1"/>
      <c r="AH43" s="1"/>
      <c r="AI43" s="1"/>
      <c r="AJ43" s="1"/>
      <c r="AK43" t="s">
        <v>597</v>
      </c>
      <c r="AN43" t="str">
        <f t="shared" si="1"/>
        <v>Наименование централизованной системы холодного водоснабжения</v>
      </c>
      <c r="AQ43">
        <v>23</v>
      </c>
    </row>
    <row r="44" spans="1:43" ht="24" customHeight="1" x14ac:dyDescent="0.15">
      <c r="A44" t="s">
        <v>290</v>
      </c>
      <c r="B44" t="s">
        <v>291</v>
      </c>
      <c r="C44" t="s">
        <v>292</v>
      </c>
      <c r="D44" t="s">
        <v>613</v>
      </c>
      <c r="E44" s="1"/>
      <c r="F44" s="1"/>
      <c r="G44" s="1"/>
      <c r="H44" s="1"/>
      <c r="I44" s="1" t="str">
        <f>S43&amp;".1"</f>
        <v>...1</v>
      </c>
      <c r="P44" s="1">
        <v>1</v>
      </c>
      <c r="S44" t="str">
        <f>$I44</f>
        <v>...1</v>
      </c>
      <c r="T44" t="s">
        <v>598</v>
      </c>
      <c r="V44" s="1"/>
      <c r="W44" s="1"/>
      <c r="X44" s="1"/>
      <c r="Y44" s="1"/>
      <c r="Z44" s="1"/>
      <c r="AA44" s="1"/>
      <c r="AB44" s="1"/>
      <c r="AC44" s="1"/>
      <c r="AD44" s="1"/>
      <c r="AE44" s="1"/>
      <c r="AF44" s="1"/>
      <c r="AG44" s="1"/>
      <c r="AH44" s="1"/>
      <c r="AI44" s="1"/>
      <c r="AJ44" s="1"/>
      <c r="AK44" t="s">
        <v>599</v>
      </c>
      <c r="AN44" t="str">
        <f t="shared" si="1"/>
        <v>Наименование признака дифференциации</v>
      </c>
      <c r="AQ44">
        <v>23</v>
      </c>
    </row>
    <row r="45" spans="1:43" ht="24" customHeight="1" x14ac:dyDescent="0.15">
      <c r="A45" t="s">
        <v>290</v>
      </c>
      <c r="B45" t="s">
        <v>291</v>
      </c>
      <c r="C45" t="s">
        <v>292</v>
      </c>
      <c r="D45" t="s">
        <v>613</v>
      </c>
      <c r="E45" s="1"/>
      <c r="F45" s="1"/>
      <c r="G45" s="1"/>
      <c r="H45" s="1"/>
      <c r="I45" s="1"/>
      <c r="J45" s="1" t="str">
        <f>I44&amp;".1"</f>
        <v>...1.1</v>
      </c>
      <c r="L45" t="s">
        <v>524</v>
      </c>
      <c r="P45" s="1"/>
      <c r="Q45" s="1">
        <v>1</v>
      </c>
      <c r="S45" t="str">
        <f>$J45</f>
        <v>...1.1</v>
      </c>
      <c r="T45" t="s">
        <v>525</v>
      </c>
      <c r="V45" s="1"/>
      <c r="W45" s="1"/>
      <c r="X45" s="1"/>
      <c r="Y45" s="1"/>
      <c r="Z45" s="1"/>
      <c r="AA45" s="1"/>
      <c r="AB45" s="1"/>
      <c r="AC45" s="1"/>
      <c r="AD45" s="1"/>
      <c r="AE45" s="1"/>
      <c r="AF45" s="1"/>
      <c r="AG45" s="1"/>
      <c r="AH45" s="1"/>
      <c r="AI45" s="1"/>
      <c r="AJ45" s="1"/>
      <c r="AK45" t="s">
        <v>600</v>
      </c>
      <c r="AN45" t="str">
        <f t="shared" si="1"/>
        <v>Группа потребителей</v>
      </c>
      <c r="AQ45">
        <v>23</v>
      </c>
    </row>
    <row r="46" spans="1:43" ht="24" customHeight="1" x14ac:dyDescent="0.15">
      <c r="A46" t="s">
        <v>290</v>
      </c>
      <c r="B46" t="s">
        <v>291</v>
      </c>
      <c r="C46" t="s">
        <v>292</v>
      </c>
      <c r="D46" t="s">
        <v>613</v>
      </c>
      <c r="E46" s="1"/>
      <c r="F46" s="1"/>
      <c r="G46" s="1"/>
      <c r="H46" s="1"/>
      <c r="I46" s="1"/>
      <c r="J46" s="1"/>
      <c r="K46" s="1" t="str">
        <f>J45&amp;".1"</f>
        <v>...1.1.1</v>
      </c>
      <c r="P46" s="1"/>
      <c r="Q46" s="1"/>
      <c r="R46">
        <v>1</v>
      </c>
      <c r="S46" t="str">
        <f>$K46</f>
        <v>...1.1.1</v>
      </c>
      <c r="Y46" s="1"/>
      <c r="Z46" s="1" t="s">
        <v>63</v>
      </c>
      <c r="AA46" s="1"/>
      <c r="AB46" s="1" t="s">
        <v>63</v>
      </c>
      <c r="AF46" s="1"/>
      <c r="AG46" s="1" t="s">
        <v>63</v>
      </c>
      <c r="AH46" s="1"/>
      <c r="AI46" s="1" t="s">
        <v>63</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290</v>
      </c>
      <c r="B47" t="s">
        <v>291</v>
      </c>
      <c r="C47" t="s">
        <v>292</v>
      </c>
      <c r="D47" t="s">
        <v>613</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290</v>
      </c>
      <c r="B48" t="s">
        <v>291</v>
      </c>
      <c r="C48" t="s">
        <v>292</v>
      </c>
      <c r="D48" t="s">
        <v>613</v>
      </c>
      <c r="E48" s="1"/>
      <c r="F48" s="1"/>
      <c r="G48" s="1"/>
      <c r="H48" s="1"/>
      <c r="I48" s="1"/>
      <c r="J48" s="1"/>
      <c r="P48" s="1"/>
      <c r="Q48" s="1"/>
      <c r="T48" t="s">
        <v>601</v>
      </c>
      <c r="AK48" t="s">
        <v>602</v>
      </c>
      <c r="AN48" t="str">
        <f t="shared" si="1"/>
        <v>Добавить значение признака дифференциации</v>
      </c>
      <c r="AQ48">
        <v>20</v>
      </c>
    </row>
    <row r="49" spans="1:43" ht="21.95" customHeight="1" x14ac:dyDescent="0.15">
      <c r="A49" t="s">
        <v>290</v>
      </c>
      <c r="B49" t="s">
        <v>291</v>
      </c>
      <c r="C49" t="s">
        <v>292</v>
      </c>
      <c r="D49" t="s">
        <v>613</v>
      </c>
      <c r="E49" s="1"/>
      <c r="F49" s="1"/>
      <c r="G49" s="1"/>
      <c r="H49" s="1"/>
      <c r="I49" s="1"/>
      <c r="P49" s="1"/>
      <c r="T49" t="s">
        <v>530</v>
      </c>
      <c r="AN49" t="str">
        <f t="shared" si="1"/>
        <v>Добавить группу потребителей</v>
      </c>
      <c r="AQ49">
        <v>21</v>
      </c>
    </row>
    <row r="50" spans="1:43" ht="21.95" customHeight="1" x14ac:dyDescent="0.15">
      <c r="A50" t="s">
        <v>290</v>
      </c>
      <c r="B50" t="s">
        <v>291</v>
      </c>
      <c r="C50" t="s">
        <v>292</v>
      </c>
      <c r="D50" t="s">
        <v>613</v>
      </c>
      <c r="E50" s="1"/>
      <c r="F50" s="1"/>
      <c r="G50" s="1"/>
      <c r="H50" s="1"/>
      <c r="T50" t="s">
        <v>603</v>
      </c>
      <c r="AN50" t="str">
        <f t="shared" si="1"/>
        <v>Добавить наименование признака дифференциации</v>
      </c>
      <c r="AQ50">
        <v>21</v>
      </c>
    </row>
    <row r="51" spans="1:43" ht="0" hidden="1" customHeight="1" x14ac:dyDescent="0.15">
      <c r="A51" t="s">
        <v>290</v>
      </c>
      <c r="B51" t="s">
        <v>291</v>
      </c>
      <c r="E51" s="1"/>
      <c r="F51" s="1"/>
      <c r="T51" t="s">
        <v>321</v>
      </c>
      <c r="AN51" t="str">
        <f t="shared" si="1"/>
        <v>Добавить централизованную систему для дифференциации</v>
      </c>
      <c r="AQ51">
        <v>0</v>
      </c>
    </row>
    <row r="52" spans="1:43" ht="0" hidden="1" customHeight="1" x14ac:dyDescent="0.15">
      <c r="A52" t="s">
        <v>290</v>
      </c>
      <c r="E52" s="1"/>
      <c r="T52" t="s">
        <v>385</v>
      </c>
      <c r="AN52" t="str">
        <f t="shared" si="1"/>
        <v>Добавить территорию для дифференциации</v>
      </c>
      <c r="AQ52">
        <v>0</v>
      </c>
    </row>
    <row r="53" spans="1:43" ht="0" hidden="1" customHeight="1" x14ac:dyDescent="0.15">
      <c r="T53" t="s">
        <v>386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x14ac:dyDescent="0.15"/>
  <cols>
    <col min="1" max="3" width="10.140625" hidden="1" customWidth="1"/>
    <col min="4" max="4" width="11.85546875" hidden="1" customWidth="1"/>
    <col min="5" max="15" width="10.140625" hidden="1" customWidth="1"/>
    <col min="16" max="18" width="3" customWidth="1"/>
    <col min="19" max="19" width="12" customWidth="1"/>
    <col min="20" max="20" width="31"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27" customWidth="1"/>
    <col min="29" max="29" width="24.5703125" customWidth="1"/>
    <col min="30" max="31" width="21"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0.75" hidden="1" customHeight="1" x14ac:dyDescent="0.15">
      <c r="AQ1" t="s">
        <v>14</v>
      </c>
    </row>
    <row r="2" spans="5:43" ht="21" hidden="1" customHeight="1" x14ac:dyDescent="0.15">
      <c r="E2" s="1">
        <v>1</v>
      </c>
      <c r="S2" t="e">
        <f>INDEX(PT_DIFFERENTIATION_NUM_NTAR,MATCH(A2,PT_DIFFERENTIATION_NTAR_ID,0))</f>
        <v>#N/A</v>
      </c>
      <c r="T2" t="s">
        <v>179</v>
      </c>
      <c r="V2" s="1"/>
      <c r="W2" s="1"/>
      <c r="X2" s="1"/>
      <c r="Y2" s="1"/>
      <c r="Z2" s="1"/>
      <c r="AA2" s="1"/>
      <c r="AC2" s="1" t="e">
        <f>INDEX(PT_DIFFERENTIATION_NTAR,MATCH(A2,PT_DIFFERENTIATION_NTAR_ID,0))</f>
        <v>#N/A</v>
      </c>
      <c r="AD2" s="1"/>
      <c r="AE2" s="1"/>
      <c r="AF2" s="1"/>
      <c r="AG2" s="1"/>
      <c r="AH2" s="1"/>
      <c r="AI2" s="1"/>
      <c r="AJ2" s="1"/>
      <c r="AK2" t="s">
        <v>514</v>
      </c>
      <c r="AN2" t="str">
        <f t="shared" ref="AN2:AN14" si="0">IF(T2="","",T2)</f>
        <v>Наименование тарифа</v>
      </c>
      <c r="AQ2">
        <v>0</v>
      </c>
    </row>
    <row r="3" spans="5:43" ht="21" hidden="1" customHeight="1" x14ac:dyDescent="0.15">
      <c r="E3" s="1"/>
      <c r="F3" s="1">
        <v>1</v>
      </c>
      <c r="S3" t="e">
        <f>INDEX(PT_DIFFERENTIATION_NUM_TER,MATCH(B3,PT_DIFFERENTIATION_TER_ID,0))</f>
        <v>#N/A</v>
      </c>
      <c r="T3" t="s">
        <v>515</v>
      </c>
      <c r="V3" s="1"/>
      <c r="W3" s="1"/>
      <c r="X3" s="1"/>
      <c r="Y3" s="1"/>
      <c r="Z3" s="1"/>
      <c r="AA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2.5" hidden="1" customHeight="1" x14ac:dyDescent="0.15">
      <c r="E4" s="1"/>
      <c r="F4" s="1"/>
      <c r="G4" s="1">
        <v>1</v>
      </c>
      <c r="S4" t="e">
        <f>INDEX(PT_DIFFERENTIATION_NUM_CS,MATCH(C4,PT_DIFFERENTIATION_CS_ID,0))</f>
        <v>#N/A</v>
      </c>
      <c r="T4" t="s">
        <v>517</v>
      </c>
      <c r="V4" s="1"/>
      <c r="W4" s="1"/>
      <c r="X4" s="1"/>
      <c r="Y4" s="1"/>
      <c r="Z4" s="1"/>
      <c r="AA4" s="1"/>
      <c r="AC4" s="1" t="e">
        <f>INDEX(PT_DIFFERENTIATION_CS,MATCH(C4,PT_DIFFERENTIATION_CS_ID,0))</f>
        <v>#N/A</v>
      </c>
      <c r="AD4" s="1"/>
      <c r="AE4" s="1"/>
      <c r="AF4" s="1"/>
      <c r="AG4" s="1"/>
      <c r="AH4" s="1"/>
      <c r="AI4" s="1"/>
      <c r="AJ4" s="1"/>
      <c r="AK4" t="s">
        <v>518</v>
      </c>
      <c r="AN4" t="str">
        <f t="shared" si="0"/>
        <v xml:space="preserve">Наименование системы теплоснабжения </v>
      </c>
      <c r="AQ4">
        <v>0</v>
      </c>
    </row>
    <row r="5" spans="5:43" ht="21" hidden="1" customHeight="1" x14ac:dyDescent="0.15">
      <c r="E5" s="1"/>
      <c r="F5" s="1"/>
      <c r="G5" s="1"/>
      <c r="H5" s="1">
        <v>1</v>
      </c>
      <c r="S5" t="e">
        <f>INDEX(PT_DIFFERENTIATION_NUM_IST_TE,MATCH(D5,PT_DIFFERENTIATION_IST_TE_ID,0))</f>
        <v>#N/A</v>
      </c>
      <c r="T5" t="s">
        <v>519</v>
      </c>
      <c r="V5" s="1"/>
      <c r="W5" s="1"/>
      <c r="X5" s="1"/>
      <c r="Y5" s="1"/>
      <c r="Z5" s="1"/>
      <c r="AA5" s="1"/>
      <c r="AC5" s="1" t="e">
        <f>INDEX(PT_DIFFERENTIATION_IST_TE,MATCH(D5,PT_DIFFERENTIATION_IST_TE_ID,0))</f>
        <v>#N/A</v>
      </c>
      <c r="AD5" s="1"/>
      <c r="AE5" s="1"/>
      <c r="AF5" s="1"/>
      <c r="AG5" s="1"/>
      <c r="AH5" s="1"/>
      <c r="AI5" s="1"/>
      <c r="AJ5" s="1"/>
      <c r="AK5" t="s">
        <v>520</v>
      </c>
      <c r="AN5" t="str">
        <f t="shared" si="0"/>
        <v xml:space="preserve">Источник тепловой энергии  </v>
      </c>
      <c r="AQ5">
        <v>0</v>
      </c>
    </row>
    <row r="6" spans="5:43" ht="0.75" hidden="1" customHeight="1" x14ac:dyDescent="0.15">
      <c r="E6" s="1"/>
      <c r="F6" s="1"/>
      <c r="G6" s="1"/>
      <c r="H6" s="1"/>
      <c r="I6" s="1" t="e">
        <f>S5&amp;".1"</f>
        <v>#N/A</v>
      </c>
      <c r="L6" t="s">
        <v>521</v>
      </c>
      <c r="P6" s="1">
        <v>1</v>
      </c>
      <c r="V6" s="1"/>
      <c r="W6" s="1"/>
      <c r="X6" s="1"/>
      <c r="Y6" s="1"/>
      <c r="Z6" s="1"/>
      <c r="AA6" s="1"/>
      <c r="AC6" s="1"/>
      <c r="AD6" s="1"/>
      <c r="AE6" s="1"/>
      <c r="AF6" s="1"/>
      <c r="AG6" s="1"/>
      <c r="AH6" s="1"/>
      <c r="AI6" s="1"/>
      <c r="AJ6" s="1"/>
      <c r="AN6" t="str">
        <f t="shared" si="0"/>
        <v/>
      </c>
      <c r="AQ6">
        <v>0</v>
      </c>
    </row>
    <row r="7" spans="5:43" ht="0.75" hidden="1" customHeight="1" x14ac:dyDescent="0.15">
      <c r="E7" s="1"/>
      <c r="F7" s="1"/>
      <c r="G7" s="1"/>
      <c r="H7" s="1"/>
      <c r="I7" s="1"/>
      <c r="J7" s="1" t="e">
        <f>S5&amp;".1"</f>
        <v>#N/A</v>
      </c>
      <c r="P7" s="1"/>
      <c r="Q7" s="1">
        <v>1</v>
      </c>
      <c r="V7" s="1"/>
      <c r="W7" s="1"/>
      <c r="X7" s="1"/>
      <c r="Y7" s="1"/>
      <c r="Z7" s="1"/>
      <c r="AA7" s="1"/>
      <c r="AC7" s="1"/>
      <c r="AD7" s="1"/>
      <c r="AE7" s="1"/>
      <c r="AF7" s="1"/>
      <c r="AG7" s="1"/>
      <c r="AH7" s="1"/>
      <c r="AI7" s="1"/>
      <c r="AJ7" s="1"/>
      <c r="AN7" t="str">
        <f t="shared" si="0"/>
        <v/>
      </c>
      <c r="AQ7">
        <v>0</v>
      </c>
    </row>
    <row r="8" spans="5:43" ht="21" hidden="1" customHeight="1" x14ac:dyDescent="0.15">
      <c r="E8" s="1"/>
      <c r="F8" s="1"/>
      <c r="G8" s="1"/>
      <c r="H8" s="1"/>
      <c r="I8" s="1"/>
      <c r="J8" s="1"/>
      <c r="K8" t="e">
        <f>S5&amp;".1"</f>
        <v>#N/A</v>
      </c>
      <c r="P8" s="1"/>
      <c r="Q8" s="1"/>
      <c r="R8">
        <v>1</v>
      </c>
      <c r="S8" t="e">
        <f>$K8</f>
        <v>#N/A</v>
      </c>
      <c r="Y8" t="s">
        <v>63</v>
      </c>
      <c r="AA8" t="s">
        <v>63</v>
      </c>
      <c r="AC8" t="s">
        <v>28</v>
      </c>
      <c r="AG8" t="s">
        <v>63</v>
      </c>
      <c r="AI8" t="s">
        <v>63</v>
      </c>
      <c r="AK8" s="1" t="s">
        <v>579</v>
      </c>
      <c r="AL8" t="e">
        <f ca="1">STRCHECKDATE(#REF!)</f>
        <v>#NAME?</v>
      </c>
      <c r="AN8" t="str">
        <f t="shared" si="0"/>
        <v/>
      </c>
      <c r="AQ8">
        <v>0</v>
      </c>
    </row>
    <row r="9" spans="5:43" ht="11.25" hidden="1" customHeight="1" x14ac:dyDescent="0.15">
      <c r="E9" s="1"/>
      <c r="F9" s="1"/>
      <c r="G9" s="1"/>
      <c r="H9" s="1"/>
      <c r="I9" s="1"/>
      <c r="J9" s="1"/>
      <c r="P9" s="1"/>
      <c r="Q9" s="1"/>
      <c r="T9" t="s">
        <v>583</v>
      </c>
      <c r="AK9" s="1"/>
      <c r="AN9" t="str">
        <f t="shared" si="0"/>
        <v>Добавить строку</v>
      </c>
      <c r="AQ9">
        <v>0</v>
      </c>
    </row>
    <row r="10" spans="5:43" ht="0.75" hidden="1" customHeight="1" x14ac:dyDescent="0.15">
      <c r="E10" s="1"/>
      <c r="F10" s="1"/>
      <c r="G10" s="1"/>
      <c r="H10" s="1"/>
      <c r="I10" s="1"/>
      <c r="P10" s="1"/>
      <c r="AN10" t="str">
        <f t="shared" si="0"/>
        <v/>
      </c>
      <c r="AQ10">
        <v>0</v>
      </c>
    </row>
    <row r="11" spans="5:43" ht="0.75" hidden="1" customHeight="1" x14ac:dyDescent="0.15">
      <c r="E11" s="1"/>
      <c r="F11" s="1"/>
      <c r="G11" s="1"/>
      <c r="H11" s="1"/>
      <c r="AN11" t="str">
        <f t="shared" si="0"/>
        <v/>
      </c>
      <c r="AQ11">
        <v>0</v>
      </c>
    </row>
    <row r="12" spans="5:43" ht="0.75" hidden="1" customHeight="1" x14ac:dyDescent="0.15">
      <c r="E12" s="1"/>
      <c r="F12" s="1"/>
      <c r="G12" s="1"/>
      <c r="T12" t="s">
        <v>532</v>
      </c>
      <c r="AN12" t="str">
        <f t="shared" si="0"/>
        <v>Добавить источник для дифференциации</v>
      </c>
      <c r="AQ12">
        <v>0</v>
      </c>
    </row>
    <row r="13" spans="5:43" ht="0.75" hidden="1" customHeight="1" x14ac:dyDescent="0.15">
      <c r="E13" s="1"/>
      <c r="F13" s="1"/>
      <c r="T13" t="s">
        <v>321</v>
      </c>
      <c r="AN13" t="str">
        <f t="shared" si="0"/>
        <v>Добавить централизованную систему для дифференциации</v>
      </c>
      <c r="AQ13">
        <v>0</v>
      </c>
    </row>
    <row r="14" spans="5:43" ht="0.75" hidden="1" customHeight="1" x14ac:dyDescent="0.15">
      <c r="E14" s="1"/>
      <c r="T14" t="s">
        <v>385</v>
      </c>
      <c r="AN14" t="str">
        <f t="shared" si="0"/>
        <v>Добавить территорию для дифференциации</v>
      </c>
      <c r="AQ14">
        <v>0</v>
      </c>
    </row>
    <row r="15" spans="5:43" ht="14.25" hidden="1" customHeight="1" x14ac:dyDescent="0.15">
      <c r="AQ15">
        <v>0</v>
      </c>
    </row>
    <row r="16" spans="5:43" ht="14.25" hidden="1" customHeight="1" x14ac:dyDescent="0.15">
      <c r="AG16" t="s">
        <v>63</v>
      </c>
      <c r="AI16" t="s">
        <v>63</v>
      </c>
      <c r="AQ16">
        <v>0</v>
      </c>
    </row>
    <row r="17" spans="15:43" ht="14.25" hidden="1" customHeight="1" x14ac:dyDescent="0.15">
      <c r="AQ17">
        <v>0</v>
      </c>
    </row>
    <row r="18" spans="15:43" ht="14.25" hidden="1" customHeight="1" x14ac:dyDescent="0.15">
      <c r="O18" t="s">
        <v>533</v>
      </c>
      <c r="AQ18">
        <v>0</v>
      </c>
    </row>
    <row r="19" spans="15:43" ht="14.25" hidden="1" customHeight="1" x14ac:dyDescent="0.15">
      <c r="AQ19">
        <v>0</v>
      </c>
    </row>
    <row r="20" spans="15:43" ht="14.25" hidden="1" customHeight="1" x14ac:dyDescent="0.15">
      <c r="O20" t="s">
        <v>534</v>
      </c>
      <c r="Y20" t="s">
        <v>536</v>
      </c>
      <c r="AA20" t="s">
        <v>537</v>
      </c>
      <c r="AC20" t="s">
        <v>585</v>
      </c>
      <c r="AG20" t="s">
        <v>536</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39.75" customHeight="1" x14ac:dyDescent="0.15">
      <c r="S24" s="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
      <c r="U24" s="1"/>
      <c r="V24" s="1"/>
      <c r="W24" s="1"/>
      <c r="X24" s="1"/>
      <c r="Y24" s="1"/>
      <c r="Z24" s="1"/>
      <c r="AA24" s="1"/>
      <c r="AB24" s="1"/>
      <c r="AC24" s="1"/>
      <c r="AD24" s="1"/>
      <c r="AE24" s="1"/>
      <c r="AF24" s="1"/>
      <c r="AG24" s="1"/>
      <c r="AH24" s="1"/>
      <c r="AQ24">
        <v>38</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hidden="1" customHeight="1" x14ac:dyDescent="0.15">
      <c r="AQ26">
        <v>0</v>
      </c>
    </row>
    <row r="27" spans="15:43" ht="25.5" hidden="1"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C27" s="1"/>
      <c r="AD27" s="1"/>
      <c r="AE27" s="1"/>
      <c r="AF27" s="1"/>
      <c r="AG27" s="1"/>
      <c r="AH27" s="1"/>
      <c r="AQ27">
        <v>0</v>
      </c>
    </row>
    <row r="28" spans="15:43" ht="18.75" hidden="1" customHeight="1" x14ac:dyDescent="0.15">
      <c r="S28" s="1" t="s">
        <v>539</v>
      </c>
      <c r="T28" s="1"/>
      <c r="V28" s="1">
        <f>IF(TITLE_DATE_PR_CHANGE="",IF(TITLE_DATE_PR="","",TITLE_DATE_PR),TITLE_DATE_PR_CHANGE)</f>
        <v>45653.495844907404</v>
      </c>
      <c r="W28" s="1"/>
      <c r="X28" s="1"/>
      <c r="Y28" s="1"/>
      <c r="Z28" s="1"/>
      <c r="AC28" s="1"/>
      <c r="AD28" s="1"/>
      <c r="AE28" s="1"/>
      <c r="AF28" s="1"/>
      <c r="AG28" s="1"/>
      <c r="AH28" s="1"/>
      <c r="AQ28">
        <v>0</v>
      </c>
    </row>
    <row r="29" spans="15:43" ht="18.75" hidden="1" customHeight="1" x14ac:dyDescent="0.15">
      <c r="S29" s="1" t="s">
        <v>540</v>
      </c>
      <c r="T29" s="1"/>
      <c r="V29" s="1" t="str">
        <f>IF(TITLE_NUMBER_PR_CHANGE="",IF(TITLE_NUMBER_PR="","",TITLE_NUMBER_PR),TITLE_NUMBER_PR_CHANGE)</f>
        <v>63/2</v>
      </c>
      <c r="W29" s="1"/>
      <c r="X29" s="1"/>
      <c r="Y29" s="1"/>
      <c r="Z29" s="1"/>
      <c r="AC29" s="1"/>
      <c r="AD29" s="1"/>
      <c r="AE29" s="1"/>
      <c r="AF29" s="1"/>
      <c r="AG29" s="1"/>
      <c r="AH29" s="1"/>
      <c r="AQ29">
        <v>0</v>
      </c>
    </row>
    <row r="30" spans="15:43" ht="18.75" hidden="1" customHeight="1" x14ac:dyDescent="0.15">
      <c r="S30" s="1" t="s">
        <v>44</v>
      </c>
      <c r="T30" s="1"/>
      <c r="V30" s="1" t="str">
        <f>IF(TITLE_IST_PUB_CHANGE="",IF(TITLE_IST_PUB="","",TITLE_IST_PUB),TITLE_IST_PUB_CHANGE)</f>
        <v>http://pravo.gov.ru</v>
      </c>
      <c r="W30" s="1"/>
      <c r="X30" s="1"/>
      <c r="Y30" s="1"/>
      <c r="Z30" s="1"/>
      <c r="AC30" s="1"/>
      <c r="AD30" s="1"/>
      <c r="AE30" s="1"/>
      <c r="AF30" s="1"/>
      <c r="AG30" s="1"/>
      <c r="AH30" s="1"/>
      <c r="AQ30">
        <v>0</v>
      </c>
    </row>
    <row r="31" spans="15:43" ht="14.25" hidden="1" customHeight="1" x14ac:dyDescent="0.15">
      <c r="AQ31">
        <v>0</v>
      </c>
    </row>
    <row r="32" spans="15:43" ht="18.75" hidden="1" customHeight="1" x14ac:dyDescent="0.15">
      <c r="S32" s="1" t="s">
        <v>539</v>
      </c>
      <c r="T32" s="1"/>
      <c r="V32" s="1">
        <f>IF(TITLE_DATE_PR_CHANGE="",IF(TITLE_DATE_PR="","",TITLE_DATE_PR),TITLE_DATE_PR_CHANGE)</f>
        <v>45653.495844907404</v>
      </c>
      <c r="W32" s="1"/>
      <c r="X32" s="1"/>
      <c r="Y32" s="1"/>
      <c r="Z32" s="1"/>
      <c r="AC32" s="1"/>
      <c r="AD32" s="1"/>
      <c r="AE32" s="1"/>
      <c r="AF32" s="1"/>
      <c r="AG32" s="1"/>
      <c r="AH32" s="1"/>
      <c r="AQ32">
        <v>0</v>
      </c>
    </row>
    <row r="33" spans="1:43" ht="18" hidden="1" customHeight="1" x14ac:dyDescent="0.15">
      <c r="S33" s="1" t="s">
        <v>540</v>
      </c>
      <c r="T33" s="1"/>
      <c r="V33" s="1" t="str">
        <f>IF(TITLE_NUMBER_PR_CHANGE="",IF(TITLE_NUMBER_PR="","",TITLE_NUMBER_PR),TITLE_NUMBER_PR_CHANGE)</f>
        <v>63/2</v>
      </c>
      <c r="W33" s="1"/>
      <c r="X33" s="1"/>
      <c r="Y33" s="1"/>
      <c r="Z33" s="1"/>
      <c r="AC33" s="1"/>
      <c r="AD33" s="1"/>
      <c r="AE33" s="1"/>
      <c r="AF33" s="1"/>
      <c r="AG33" s="1"/>
      <c r="AH33" s="1"/>
      <c r="AQ33">
        <v>0</v>
      </c>
    </row>
    <row r="34" spans="1:43" ht="1.1499999999999999" customHeight="1" x14ac:dyDescent="0.15">
      <c r="AA34" t="s">
        <v>543</v>
      </c>
      <c r="AI34" t="s">
        <v>543</v>
      </c>
      <c r="AQ34">
        <v>1</v>
      </c>
    </row>
    <row r="35" spans="1:43" ht="14.65" customHeight="1" x14ac:dyDescent="0.15">
      <c r="V35" s="1"/>
      <c r="W35" s="1"/>
      <c r="X35" s="1"/>
      <c r="Y35" s="1"/>
      <c r="Z35" s="1"/>
      <c r="AA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614</v>
      </c>
      <c r="V37" s="1"/>
      <c r="W37" s="1"/>
      <c r="X37" s="1"/>
      <c r="Y37" s="1"/>
      <c r="Z37" s="1"/>
      <c r="AA37" s="1" t="s">
        <v>546</v>
      </c>
      <c r="AB37" s="1" t="s">
        <v>615</v>
      </c>
      <c r="AC37" s="1" t="s">
        <v>589</v>
      </c>
      <c r="AD37" s="1" t="s">
        <v>545</v>
      </c>
      <c r="AE37" s="1"/>
      <c r="AF37" s="1"/>
      <c r="AG37" s="1"/>
      <c r="AH37" s="1"/>
      <c r="AI37" s="1" t="s">
        <v>546</v>
      </c>
      <c r="AJ37" s="1" t="s">
        <v>548</v>
      </c>
      <c r="AK37" s="1"/>
      <c r="AQ37">
        <v>14</v>
      </c>
    </row>
    <row r="38" spans="1:43" ht="35.65" customHeight="1" x14ac:dyDescent="0.15">
      <c r="S38" s="1"/>
      <c r="T38" s="1"/>
      <c r="V38" s="1" t="s">
        <v>592</v>
      </c>
      <c r="W38" s="1"/>
      <c r="X38" s="1" t="s">
        <v>552</v>
      </c>
      <c r="Y38" s="1"/>
      <c r="Z38" s="1"/>
      <c r="AA38" s="1"/>
      <c r="AB38" s="1"/>
      <c r="AC38" s="1"/>
      <c r="AD38" s="1" t="s">
        <v>592</v>
      </c>
      <c r="AE38" s="1"/>
      <c r="AF38" s="1" t="s">
        <v>552</v>
      </c>
      <c r="AG38" s="1"/>
      <c r="AH38" s="1"/>
      <c r="AI38" s="1"/>
      <c r="AJ38" s="1"/>
      <c r="AK38" s="1"/>
      <c r="AQ38">
        <v>34</v>
      </c>
    </row>
    <row r="39" spans="1:43" ht="14.65" customHeight="1" x14ac:dyDescent="0.15">
      <c r="S39" s="1"/>
      <c r="T39" s="1"/>
      <c r="V39" s="1" t="str">
        <f>IF($AD$39&lt;&gt;"",$AD$39,"")</f>
        <v/>
      </c>
      <c r="W39" s="1"/>
      <c r="X39" s="1"/>
      <c r="Y39" s="1"/>
      <c r="Z39" s="1"/>
      <c r="AA39" s="1"/>
      <c r="AB39" s="1"/>
      <c r="AC39" s="1"/>
      <c r="AD39" s="1"/>
      <c r="AE39" s="1"/>
      <c r="AF39" s="1"/>
      <c r="AG39" s="1"/>
      <c r="AH39" s="1"/>
      <c r="AI39" s="1"/>
      <c r="AJ39" s="1"/>
      <c r="AK39" s="1"/>
      <c r="AQ39">
        <v>14</v>
      </c>
    </row>
    <row r="40" spans="1:43" ht="14.65" customHeight="1" x14ac:dyDescent="0.15">
      <c r="B40" t="s">
        <v>191</v>
      </c>
      <c r="C40" t="s">
        <v>192</v>
      </c>
      <c r="D40" t="s">
        <v>193</v>
      </c>
      <c r="E40" t="s">
        <v>553</v>
      </c>
      <c r="F40" t="s">
        <v>554</v>
      </c>
      <c r="G40" t="s">
        <v>555</v>
      </c>
      <c r="H40" t="s">
        <v>556</v>
      </c>
      <c r="I40" t="s">
        <v>557</v>
      </c>
      <c r="J40" t="s">
        <v>558</v>
      </c>
      <c r="K40" t="s">
        <v>559</v>
      </c>
      <c r="L40" t="s">
        <v>534</v>
      </c>
      <c r="S40" s="1"/>
      <c r="T40" s="1"/>
      <c r="V40" t="s">
        <v>593</v>
      </c>
      <c r="W40" t="s">
        <v>594</v>
      </c>
      <c r="X40" t="s">
        <v>562</v>
      </c>
      <c r="Y40" s="1" t="s">
        <v>563</v>
      </c>
      <c r="Z40" s="1"/>
      <c r="AA40" s="1"/>
      <c r="AB40" s="1"/>
      <c r="AC40" s="1"/>
      <c r="AD40" t="s">
        <v>593</v>
      </c>
      <c r="AE40" t="s">
        <v>594</v>
      </c>
      <c r="AF40" t="s">
        <v>562</v>
      </c>
      <c r="AG40" s="1" t="s">
        <v>563</v>
      </c>
      <c r="AH40" s="1"/>
      <c r="AI40" s="1"/>
      <c r="AJ40" s="1"/>
      <c r="AK40" s="1"/>
      <c r="AQ40">
        <v>14</v>
      </c>
    </row>
    <row r="41" spans="1:43" ht="11.25" hidden="1" customHeight="1" x14ac:dyDescent="0.15">
      <c r="R41">
        <v>1</v>
      </c>
      <c r="S41" t="s">
        <v>101</v>
      </c>
      <c r="T41" t="s">
        <v>105</v>
      </c>
      <c r="U41" t="str">
        <f ca="1">OFFSET(U41,0,-1)</f>
        <v>2</v>
      </c>
      <c r="V41">
        <f ca="1">OFFSET(V41,0,-1)+1</f>
        <v>3</v>
      </c>
      <c r="W41">
        <f ca="1">OFFSET(W41,0,-1)+1</f>
        <v>4</v>
      </c>
      <c r="X41">
        <f ca="1">OFFSET(X41,0,-1)+1</f>
        <v>5</v>
      </c>
      <c r="Y41" s="1">
        <f ca="1">OFFSET(Y41,0,-1)+1</f>
        <v>6</v>
      </c>
      <c r="Z41" s="1"/>
      <c r="AA41">
        <f ca="1">OFFSET(AA41,0,-2)+1</f>
        <v>7</v>
      </c>
      <c r="AD41">
        <f ca="1">OFFSET(AD41,0,-1)+1</f>
        <v>1</v>
      </c>
      <c r="AE41">
        <f ca="1">OFFSET(AE41,0,-1)+1</f>
        <v>2</v>
      </c>
      <c r="AF41">
        <f ca="1">OFFSET(AF41,0,-1)+1</f>
        <v>3</v>
      </c>
      <c r="AG41" s="1">
        <f ca="1">OFFSET(AG41,0,-1)+1</f>
        <v>4</v>
      </c>
      <c r="AH41" s="1"/>
      <c r="AI41">
        <f ca="1">OFFSET(AI41,0,-2)+1</f>
        <v>5</v>
      </c>
      <c r="AJ41">
        <f ca="1">OFFSET(AJ41,0,-1)</f>
        <v>5</v>
      </c>
      <c r="AK41">
        <f ca="1">OFFSET(AK41,0,-1)+1</f>
        <v>6</v>
      </c>
      <c r="AQ41">
        <v>0</v>
      </c>
    </row>
    <row r="42" spans="1:43" ht="107.25" customHeight="1" x14ac:dyDescent="0.15">
      <c r="A42" t="s">
        <v>255</v>
      </c>
      <c r="E42" s="1">
        <v>1</v>
      </c>
      <c r="S42">
        <f>INDEX(PT_DIFFERENTIATION_NUM_NTAR,MATCH(A42,PT_DIFFERENTIATION_NTAR_ID,0))</f>
        <v>0</v>
      </c>
      <c r="T42" t="s">
        <v>179</v>
      </c>
      <c r="V42" s="1"/>
      <c r="W42" s="1"/>
      <c r="X42" s="1"/>
      <c r="Y42" s="1"/>
      <c r="Z42" s="1"/>
      <c r="AA42" s="1"/>
      <c r="AC42" s="1" t="str">
        <f>INDEX(PT_DIFFERENTIATION_NTAR,MATCH(A42,PT_DIFFERENTIATION_NTAR_ID,0))</f>
        <v/>
      </c>
      <c r="AD42" s="1"/>
      <c r="AE42" s="1"/>
      <c r="AF42" s="1"/>
      <c r="AG42" s="1"/>
      <c r="AH42" s="1"/>
      <c r="AI42" s="1"/>
      <c r="AJ42" s="1"/>
      <c r="AK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N42" t="str">
        <f t="shared" ref="AN42:AN56" si="1">IF(T42="","",T42)</f>
        <v>Наименование тарифа</v>
      </c>
      <c r="AQ42">
        <v>102</v>
      </c>
    </row>
    <row r="43" spans="1:43" ht="21.95" customHeight="1" x14ac:dyDescent="0.15">
      <c r="A43" t="s">
        <v>255</v>
      </c>
      <c r="B43" t="s">
        <v>256</v>
      </c>
      <c r="E43" s="1"/>
      <c r="F43" s="1">
        <v>1</v>
      </c>
      <c r="S43" t="str">
        <f>INDEX(PT_DIFFERENTIATION_NUM_TER,MATCH(B43,PT_DIFFERENTIATION_TER_ID,0))</f>
        <v>.</v>
      </c>
      <c r="T43" t="s">
        <v>515</v>
      </c>
      <c r="V43" s="1"/>
      <c r="W43" s="1"/>
      <c r="X43" s="1"/>
      <c r="Y43" s="1"/>
      <c r="Z43" s="1"/>
      <c r="AA43" s="1"/>
      <c r="AC43" s="1" t="str">
        <f>INDEX(PT_DIFFERENTIATION_TER,MATCH(B43,PT_DIFFERENTIATION_TER_ID,0))</f>
        <v/>
      </c>
      <c r="AD43" s="1"/>
      <c r="AE43" s="1"/>
      <c r="AF43" s="1"/>
      <c r="AG43" s="1"/>
      <c r="AH43" s="1"/>
      <c r="AI43" s="1"/>
      <c r="AJ43" s="1"/>
      <c r="AK43" t="s">
        <v>516</v>
      </c>
      <c r="AN43" t="str">
        <f t="shared" si="1"/>
        <v>Территория действия тарифа</v>
      </c>
      <c r="AQ43">
        <v>21</v>
      </c>
    </row>
    <row r="44" spans="1:43" ht="24" customHeight="1" x14ac:dyDescent="0.15">
      <c r="A44" t="s">
        <v>255</v>
      </c>
      <c r="B44" t="s">
        <v>256</v>
      </c>
      <c r="C44" t="s">
        <v>257</v>
      </c>
      <c r="E44" s="1"/>
      <c r="F44" s="1"/>
      <c r="G44" s="1">
        <v>1</v>
      </c>
      <c r="S44" t="str">
        <f>INDEX(PT_DIFFERENTIATION_NUM_CS,MATCH(C44,PT_DIFFERENTIATION_CS_ID,0))</f>
        <v>..</v>
      </c>
      <c r="T44" t="s">
        <v>517</v>
      </c>
      <c r="V44" s="1"/>
      <c r="W44" s="1"/>
      <c r="X44" s="1"/>
      <c r="Y44" s="1"/>
      <c r="Z44" s="1"/>
      <c r="AA44" s="1"/>
      <c r="AC44" s="1" t="str">
        <f>INDEX(PT_DIFFERENTIATION_CS,MATCH(C44,PT_DIFFERENTIATION_CS_ID,0))</f>
        <v/>
      </c>
      <c r="AD44" s="1"/>
      <c r="AE44" s="1"/>
      <c r="AF44" s="1"/>
      <c r="AG44" s="1"/>
      <c r="AH44" s="1"/>
      <c r="AI44" s="1"/>
      <c r="AJ44" s="1"/>
      <c r="AK44" t="s">
        <v>518</v>
      </c>
      <c r="AN44" t="str">
        <f t="shared" si="1"/>
        <v xml:space="preserve">Наименование системы теплоснабжения </v>
      </c>
      <c r="AQ44">
        <v>23</v>
      </c>
    </row>
    <row r="45" spans="1:43" ht="21.95" customHeight="1" x14ac:dyDescent="0.15">
      <c r="A45" t="s">
        <v>255</v>
      </c>
      <c r="B45" t="s">
        <v>256</v>
      </c>
      <c r="C45" t="s">
        <v>257</v>
      </c>
      <c r="D45" t="s">
        <v>258</v>
      </c>
      <c r="E45" s="1"/>
      <c r="F45" s="1"/>
      <c r="G45" s="1"/>
      <c r="H45" s="1">
        <v>1</v>
      </c>
      <c r="S45" t="str">
        <f>INDEX(PT_DIFFERENTIATION_NUM_IST_TE,MATCH(D45,PT_DIFFERENTIATION_IST_TE_ID,0))</f>
        <v>...</v>
      </c>
      <c r="T45" t="s">
        <v>519</v>
      </c>
      <c r="V45" s="1"/>
      <c r="W45" s="1"/>
      <c r="X45" s="1"/>
      <c r="Y45" s="1"/>
      <c r="Z45" s="1"/>
      <c r="AA45" s="1"/>
      <c r="AC45" s="1" t="str">
        <f>INDEX(PT_DIFFERENTIATION_IST_TE,MATCH(D45,PT_DIFFERENTIATION_IST_TE_ID,0))</f>
        <v/>
      </c>
      <c r="AD45" s="1"/>
      <c r="AE45" s="1"/>
      <c r="AF45" s="1"/>
      <c r="AG45" s="1"/>
      <c r="AH45" s="1"/>
      <c r="AI45" s="1"/>
      <c r="AJ45" s="1"/>
      <c r="AK45" t="s">
        <v>520</v>
      </c>
      <c r="AN45" t="str">
        <f t="shared" si="1"/>
        <v xml:space="preserve">Источник тепловой энергии  </v>
      </c>
      <c r="AQ45">
        <v>21</v>
      </c>
    </row>
    <row r="46" spans="1:43" ht="0" hidden="1" customHeight="1" x14ac:dyDescent="0.15">
      <c r="A46" t="s">
        <v>255</v>
      </c>
      <c r="B46" t="s">
        <v>256</v>
      </c>
      <c r="C46" t="s">
        <v>257</v>
      </c>
      <c r="D46" t="s">
        <v>258</v>
      </c>
      <c r="E46" s="1"/>
      <c r="F46" s="1"/>
      <c r="G46" s="1"/>
      <c r="H46" s="1"/>
      <c r="I46" s="1" t="str">
        <f>S45&amp;".1"</f>
        <v>....1</v>
      </c>
      <c r="L46" t="s">
        <v>521</v>
      </c>
      <c r="P46" s="1">
        <v>1</v>
      </c>
      <c r="V46" s="1"/>
      <c r="W46" s="1"/>
      <c r="X46" s="1"/>
      <c r="Y46" s="1"/>
      <c r="Z46" s="1"/>
      <c r="AA46" s="1"/>
      <c r="AC46" s="1"/>
      <c r="AD46" s="1"/>
      <c r="AE46" s="1"/>
      <c r="AF46" s="1"/>
      <c r="AG46" s="1"/>
      <c r="AH46" s="1"/>
      <c r="AI46" s="1"/>
      <c r="AJ46" s="1"/>
      <c r="AN46" t="str">
        <f t="shared" si="1"/>
        <v/>
      </c>
      <c r="AQ46">
        <v>0</v>
      </c>
    </row>
    <row r="47" spans="1:43" ht="0" hidden="1" customHeight="1" x14ac:dyDescent="0.15">
      <c r="A47" t="s">
        <v>255</v>
      </c>
      <c r="B47" t="s">
        <v>256</v>
      </c>
      <c r="C47" t="s">
        <v>257</v>
      </c>
      <c r="D47" t="s">
        <v>258</v>
      </c>
      <c r="E47" s="1"/>
      <c r="F47" s="1"/>
      <c r="G47" s="1"/>
      <c r="H47" s="1"/>
      <c r="I47" s="1"/>
      <c r="J47" s="1" t="str">
        <f>S45&amp;".1"</f>
        <v>....1</v>
      </c>
      <c r="P47" s="1"/>
      <c r="Q47" s="1">
        <v>1</v>
      </c>
      <c r="V47" s="1"/>
      <c r="W47" s="1"/>
      <c r="X47" s="1"/>
      <c r="Y47" s="1"/>
      <c r="Z47" s="1"/>
      <c r="AA47" s="1"/>
      <c r="AC47" s="1"/>
      <c r="AD47" s="1"/>
      <c r="AE47" s="1"/>
      <c r="AF47" s="1"/>
      <c r="AG47" s="1"/>
      <c r="AH47" s="1"/>
      <c r="AI47" s="1"/>
      <c r="AJ47" s="1"/>
      <c r="AN47" t="str">
        <f t="shared" si="1"/>
        <v/>
      </c>
      <c r="AQ47">
        <v>0</v>
      </c>
    </row>
    <row r="48" spans="1:43" ht="21.95" customHeight="1" x14ac:dyDescent="0.15">
      <c r="A48" t="s">
        <v>255</v>
      </c>
      <c r="B48" t="s">
        <v>256</v>
      </c>
      <c r="C48" t="s">
        <v>257</v>
      </c>
      <c r="D48" t="s">
        <v>258</v>
      </c>
      <c r="E48" s="1"/>
      <c r="F48" s="1"/>
      <c r="G48" s="1"/>
      <c r="H48" s="1"/>
      <c r="I48" s="1"/>
      <c r="J48" s="1"/>
      <c r="K48" t="str">
        <f>S45&amp;".1"</f>
        <v>....1</v>
      </c>
      <c r="P48" s="1"/>
      <c r="Q48" s="1"/>
      <c r="R48">
        <v>1</v>
      </c>
      <c r="S48" t="str">
        <f>$K48</f>
        <v>....1</v>
      </c>
      <c r="Y48" t="s">
        <v>63</v>
      </c>
      <c r="AA48" t="s">
        <v>63</v>
      </c>
      <c r="AC48" t="s">
        <v>28</v>
      </c>
      <c r="AG48" t="s">
        <v>63</v>
      </c>
      <c r="AI48" t="s">
        <v>63</v>
      </c>
      <c r="AK48" s="1" t="s">
        <v>595</v>
      </c>
      <c r="AL48" t="e">
        <f ca="1">STRCHECKDATE(#REF!)</f>
        <v>#NAME?</v>
      </c>
      <c r="AN48" t="str">
        <f t="shared" si="1"/>
        <v/>
      </c>
      <c r="AQ48">
        <v>21</v>
      </c>
    </row>
    <row r="49" spans="1:43" ht="11.45" customHeight="1" x14ac:dyDescent="0.15">
      <c r="A49" t="s">
        <v>255</v>
      </c>
      <c r="B49" t="s">
        <v>256</v>
      </c>
      <c r="C49" t="s">
        <v>257</v>
      </c>
      <c r="D49" t="s">
        <v>258</v>
      </c>
      <c r="E49" s="1"/>
      <c r="F49" s="1"/>
      <c r="G49" s="1"/>
      <c r="H49" s="1"/>
      <c r="I49" s="1"/>
      <c r="J49" s="1"/>
      <c r="P49" s="1"/>
      <c r="Q49" s="1"/>
      <c r="T49" t="s">
        <v>583</v>
      </c>
      <c r="AK49" s="1"/>
      <c r="AN49" t="str">
        <f t="shared" si="1"/>
        <v>Добавить строку</v>
      </c>
      <c r="AQ49">
        <v>11</v>
      </c>
    </row>
    <row r="50" spans="1:43" ht="1.1499999999999999" customHeight="1" x14ac:dyDescent="0.15">
      <c r="A50" t="s">
        <v>255</v>
      </c>
      <c r="B50" t="s">
        <v>256</v>
      </c>
      <c r="C50" t="s">
        <v>257</v>
      </c>
      <c r="D50" t="s">
        <v>258</v>
      </c>
      <c r="E50" s="1"/>
      <c r="F50" s="1"/>
      <c r="G50" s="1"/>
      <c r="H50" s="1"/>
      <c r="I50" s="1"/>
      <c r="P50" s="1"/>
      <c r="T50" t="s">
        <v>530</v>
      </c>
      <c r="AN50" t="str">
        <f t="shared" si="1"/>
        <v>Добавить группу потребителей</v>
      </c>
      <c r="AQ50">
        <v>1</v>
      </c>
    </row>
    <row r="51" spans="1:43" ht="1.1499999999999999" customHeight="1" x14ac:dyDescent="0.15">
      <c r="A51" t="s">
        <v>255</v>
      </c>
      <c r="B51" t="s">
        <v>256</v>
      </c>
      <c r="C51" t="s">
        <v>257</v>
      </c>
      <c r="D51" t="s">
        <v>258</v>
      </c>
      <c r="E51" s="1"/>
      <c r="F51" s="1"/>
      <c r="G51" s="1"/>
      <c r="H51" s="1"/>
      <c r="AN51" t="str">
        <f t="shared" si="1"/>
        <v/>
      </c>
      <c r="AQ51">
        <v>1</v>
      </c>
    </row>
    <row r="52" spans="1:43" ht="1.1499999999999999" customHeight="1" x14ac:dyDescent="0.15">
      <c r="A52" t="s">
        <v>255</v>
      </c>
      <c r="B52" t="s">
        <v>256</v>
      </c>
      <c r="C52" t="s">
        <v>257</v>
      </c>
      <c r="E52" s="1"/>
      <c r="F52" s="1"/>
      <c r="G52" s="1"/>
      <c r="T52" t="s">
        <v>532</v>
      </c>
      <c r="AN52" t="str">
        <f t="shared" si="1"/>
        <v>Добавить источник для дифференциации</v>
      </c>
      <c r="AQ52">
        <v>1</v>
      </c>
    </row>
    <row r="53" spans="1:43" ht="1.1499999999999999" customHeight="1" x14ac:dyDescent="0.15">
      <c r="A53" t="s">
        <v>255</v>
      </c>
      <c r="B53" t="s">
        <v>256</v>
      </c>
      <c r="E53" s="1"/>
      <c r="F53" s="1"/>
      <c r="T53" t="s">
        <v>321</v>
      </c>
      <c r="AN53" t="str">
        <f t="shared" si="1"/>
        <v>Добавить централизованную систему для дифференциации</v>
      </c>
      <c r="AQ53">
        <v>1</v>
      </c>
    </row>
    <row r="54" spans="1:43" ht="1.1499999999999999" customHeight="1" x14ac:dyDescent="0.15">
      <c r="A54" t="s">
        <v>255</v>
      </c>
      <c r="E54" s="1"/>
      <c r="T54" t="s">
        <v>385</v>
      </c>
      <c r="AN54" t="str">
        <f t="shared" si="1"/>
        <v>Добавить территорию для дифференциации</v>
      </c>
      <c r="AQ54">
        <v>1</v>
      </c>
    </row>
    <row r="55" spans="1:43" ht="1.1499999999999999" customHeight="1" x14ac:dyDescent="0.15">
      <c r="A55" t="s">
        <v>255</v>
      </c>
      <c r="E55" s="1"/>
      <c r="T55" t="s">
        <v>385</v>
      </c>
      <c r="AN55" t="str">
        <f t="shared" si="1"/>
        <v>Добавить территорию для дифференциации</v>
      </c>
      <c r="AQ55">
        <v>1</v>
      </c>
    </row>
    <row r="56" spans="1:43" ht="1.1499999999999999" customHeight="1" x14ac:dyDescent="0.15">
      <c r="T56" t="s">
        <v>386</v>
      </c>
      <c r="AN56" t="str">
        <f t="shared" si="1"/>
        <v>Добавить наименование тарифа</v>
      </c>
      <c r="AQ56">
        <v>1</v>
      </c>
    </row>
    <row r="57" spans="1:43" ht="11.45" customHeight="1" x14ac:dyDescent="0.15">
      <c r="AQ57">
        <v>11</v>
      </c>
    </row>
    <row r="58" spans="1:43" ht="19.899999999999999" customHeight="1" x14ac:dyDescent="0.15">
      <c r="T58" s="1"/>
      <c r="U58" s="1"/>
      <c r="V58" s="1"/>
      <c r="W58" s="1"/>
      <c r="X58" s="1"/>
      <c r="Y58" s="1"/>
      <c r="Z58" s="1"/>
      <c r="AA58" s="1"/>
      <c r="AB58" s="1"/>
      <c r="AC58" s="1"/>
      <c r="AD58" s="1"/>
      <c r="AE58" s="1"/>
      <c r="AF58" s="1"/>
      <c r="AG58" s="1"/>
      <c r="AH58" s="1"/>
      <c r="AI58" s="1"/>
      <c r="AJ58" s="1"/>
      <c r="AK58" s="1"/>
      <c r="AQ58">
        <v>19</v>
      </c>
    </row>
    <row r="59" spans="1:43" ht="21" customHeight="1" x14ac:dyDescent="0.15">
      <c r="T59" s="1"/>
      <c r="U59" s="1"/>
      <c r="V59" s="1"/>
      <c r="W59" s="1"/>
      <c r="X59" s="1"/>
      <c r="Y59" s="1"/>
      <c r="Z59" s="1"/>
      <c r="AA59" s="1"/>
      <c r="AB59" s="1"/>
      <c r="AC59" s="1"/>
      <c r="AD59" s="1"/>
      <c r="AE59" s="1"/>
      <c r="AF59" s="1"/>
      <c r="AG59" s="1"/>
      <c r="AH59" s="1"/>
      <c r="AI59" s="1"/>
      <c r="AJ59" s="1"/>
      <c r="AK59" s="1"/>
      <c r="AQ59">
        <v>20</v>
      </c>
    </row>
    <row r="60" spans="1:43" ht="14.65" customHeight="1" x14ac:dyDescent="0.15">
      <c r="AQ60">
        <v>14</v>
      </c>
    </row>
    <row r="61" spans="1:43" ht="19.899999999999999" customHeight="1" x14ac:dyDescent="0.15">
      <c r="T61" s="1"/>
      <c r="U61" s="1"/>
      <c r="V61" s="1"/>
      <c r="W61" s="1"/>
      <c r="X61" s="1"/>
      <c r="Y61" s="1"/>
      <c r="Z61" s="1"/>
      <c r="AA61" s="1"/>
      <c r="AB61" s="1"/>
      <c r="AC61" s="1"/>
      <c r="AD61" s="1"/>
      <c r="AE61" s="1"/>
      <c r="AF61" s="1"/>
      <c r="AG61" s="1"/>
      <c r="AH61" s="1"/>
      <c r="AI61" s="1"/>
      <c r="AJ61" s="1"/>
      <c r="AK61" s="1"/>
      <c r="AQ61">
        <v>19</v>
      </c>
    </row>
    <row r="62" spans="1:43" ht="16.899999999999999" customHeight="1" x14ac:dyDescent="0.15">
      <c r="T62" s="1"/>
      <c r="U62" s="1"/>
      <c r="V62" s="1"/>
      <c r="W62" s="1"/>
      <c r="X62" s="1"/>
      <c r="Y62" s="1"/>
      <c r="Z62" s="1"/>
      <c r="AA62" s="1"/>
      <c r="AB62" s="1"/>
      <c r="AC62" s="1"/>
      <c r="AD62" s="1"/>
      <c r="AE62" s="1"/>
      <c r="AF62" s="1"/>
      <c r="AG62" s="1"/>
      <c r="AH62" s="1"/>
      <c r="AI62" s="1"/>
      <c r="AJ62" s="1"/>
      <c r="AK62" s="1"/>
      <c r="AQ62">
        <v>16</v>
      </c>
    </row>
    <row r="63" spans="1:43" ht="14.65" customHeight="1" x14ac:dyDescent="0.15">
      <c r="AQ63">
        <v>14</v>
      </c>
    </row>
    <row r="64" spans="1:43" ht="22.5" hidden="1" customHeight="1" x14ac:dyDescent="0.15">
      <c r="A64" t="s">
        <v>84</v>
      </c>
      <c r="B64">
        <v>0</v>
      </c>
      <c r="C64">
        <v>0</v>
      </c>
      <c r="D64">
        <v>0</v>
      </c>
      <c r="E64">
        <v>0</v>
      </c>
      <c r="F64">
        <v>0</v>
      </c>
      <c r="G64">
        <v>0</v>
      </c>
      <c r="H64">
        <v>0</v>
      </c>
      <c r="I64">
        <v>0</v>
      </c>
      <c r="J64">
        <v>0</v>
      </c>
      <c r="K64">
        <v>0</v>
      </c>
      <c r="L64">
        <v>0</v>
      </c>
      <c r="M64">
        <v>0</v>
      </c>
      <c r="N64">
        <v>0</v>
      </c>
      <c r="O64">
        <v>0</v>
      </c>
      <c r="P64">
        <v>3</v>
      </c>
      <c r="Q64">
        <v>3</v>
      </c>
      <c r="R64">
        <v>3</v>
      </c>
      <c r="S64">
        <v>12</v>
      </c>
      <c r="T64">
        <v>31</v>
      </c>
      <c r="U64">
        <v>0</v>
      </c>
      <c r="V64">
        <v>0</v>
      </c>
      <c r="W64">
        <v>0</v>
      </c>
      <c r="X64">
        <v>0</v>
      </c>
      <c r="Y64">
        <v>0</v>
      </c>
      <c r="Z64">
        <v>0</v>
      </c>
      <c r="AA64">
        <v>0</v>
      </c>
      <c r="AB64">
        <v>27</v>
      </c>
      <c r="AC64">
        <v>24</v>
      </c>
      <c r="AD64">
        <v>21</v>
      </c>
      <c r="AE64">
        <v>21</v>
      </c>
      <c r="AF64">
        <v>11</v>
      </c>
      <c r="AG64">
        <v>3</v>
      </c>
      <c r="AH64">
        <v>11</v>
      </c>
      <c r="AI64">
        <v>8</v>
      </c>
      <c r="AJ64">
        <v>4</v>
      </c>
      <c r="AK64">
        <v>115</v>
      </c>
      <c r="AL64">
        <v>10</v>
      </c>
      <c r="AM64">
        <v>10</v>
      </c>
      <c r="AN64">
        <v>10</v>
      </c>
      <c r="AO64">
        <v>10</v>
      </c>
      <c r="AP64">
        <v>10</v>
      </c>
      <c r="AQ64">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516</v>
      </c>
      <c r="BF3" t="str">
        <f t="shared" si="0"/>
        <v>Территория действия тарифа</v>
      </c>
      <c r="BI3">
        <v>0</v>
      </c>
    </row>
    <row r="4" spans="5:61" ht="42" hidden="1" customHeight="1" x14ac:dyDescent="0.15">
      <c r="E4" s="1"/>
      <c r="F4" s="1"/>
      <c r="G4" s="1">
        <v>1</v>
      </c>
      <c r="S4" t="e">
        <f>INDEX(PT_DIFFERENTIATION_NUM_CS,MATCH(C4,PT_DIFFERENTIATION_CS_ID,0))</f>
        <v>#N/A</v>
      </c>
      <c r="T4" t="s">
        <v>596</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597</v>
      </c>
      <c r="BF4" t="str">
        <f t="shared" si="0"/>
        <v>Наименование централизованной системы холодного водоснабжения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520</v>
      </c>
      <c r="BF5" t="str">
        <f t="shared" si="0"/>
        <v/>
      </c>
      <c r="BI5">
        <v>0</v>
      </c>
    </row>
    <row r="6" spans="5:61" ht="14.25" hidden="1" customHeight="1" x14ac:dyDescent="0.15">
      <c r="E6" s="1"/>
      <c r="F6" s="1"/>
      <c r="G6" s="1"/>
      <c r="H6" s="1"/>
      <c r="I6" s="1" t="str">
        <f>S5&amp;".1"</f>
        <v>.1</v>
      </c>
      <c r="L6" t="s">
        <v>521</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616</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617</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618</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619</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620</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583</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321</v>
      </c>
      <c r="BF17" t="str">
        <f t="shared" si="1"/>
        <v>Добавить централизованную систему для дифференциации</v>
      </c>
      <c r="BI17">
        <v>0</v>
      </c>
    </row>
    <row r="18" spans="5:61" ht="14.25" hidden="1" customHeight="1" x14ac:dyDescent="0.15">
      <c r="E18" s="1"/>
      <c r="T18" t="s">
        <v>385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533</v>
      </c>
      <c r="BI22">
        <v>0</v>
      </c>
    </row>
    <row r="23" spans="5:61" ht="14.25" hidden="1" customHeight="1" x14ac:dyDescent="0.15">
      <c r="BI23">
        <v>0</v>
      </c>
    </row>
    <row r="24" spans="5:61" ht="14.25" hidden="1" customHeight="1" x14ac:dyDescent="0.15">
      <c r="O24" t="s">
        <v>534</v>
      </c>
      <c r="AA24" t="s">
        <v>536</v>
      </c>
      <c r="AC24" t="s">
        <v>537</v>
      </c>
      <c r="AD24" t="s">
        <v>584</v>
      </c>
      <c r="AH24" t="s">
        <v>584</v>
      </c>
      <c r="AK24" t="s">
        <v>621</v>
      </c>
      <c r="AL24" t="s">
        <v>584</v>
      </c>
      <c r="AP24" t="s">
        <v>584</v>
      </c>
      <c r="AY24" t="s">
        <v>536</v>
      </c>
      <c r="BA24" t="s">
        <v>537</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539</v>
      </c>
      <c r="T32" s="1"/>
      <c r="V32" s="1">
        <f>IF(TITLE_DATE_PR_CHANGE="",IF(TITLE_DATE_PR="","",TITLE_DATE_PR),TITLE_DATE_PR_CHANGE)</f>
        <v>45653.495844907404</v>
      </c>
      <c r="W32" s="1"/>
      <c r="X32" s="1"/>
      <c r="Y32" s="1"/>
      <c r="Z32" s="1"/>
      <c r="AA32" s="1"/>
      <c r="AB32" s="1"/>
      <c r="AD32" s="1">
        <f>IF(TITLE_DATE_PR_CHANGE="",IF(TITLE_DATE_PR="","",TITLE_DATE_PR),TITLE_DATE_PR_CHANGE)</f>
        <v>45653.495844907404</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540</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539</v>
      </c>
      <c r="T36" s="1"/>
      <c r="V36" s="1">
        <f>IF(TITLE_DATE_PR_CHANGE="",IF(TITLE_DATE_PR="","",TITLE_DATE_PR),TITLE_DATE_PR_CHANGE)</f>
        <v>45653.495844907404</v>
      </c>
      <c r="W36" s="1"/>
      <c r="X36" s="1"/>
      <c r="Y36" s="1"/>
      <c r="Z36" s="1"/>
      <c r="AA36" s="1"/>
      <c r="AB36" s="1"/>
      <c r="AD36" s="1">
        <f>IF(TITLE_DATE_PR_CHANGE="",IF(TITLE_DATE_PR="","",TITLE_DATE_PR),TITLE_DATE_PR_CHANGE)</f>
        <v>45653.495844907404</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540</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543</v>
      </c>
      <c r="BA38" t="s">
        <v>543</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418</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419</v>
      </c>
      <c r="BI40">
        <v>14</v>
      </c>
    </row>
    <row r="41" spans="1:61" ht="14.65" customHeight="1" x14ac:dyDescent="0.15">
      <c r="S41" s="1" t="s">
        <v>90</v>
      </c>
      <c r="T41" s="1" t="s">
        <v>622</v>
      </c>
      <c r="V41" s="1" t="s">
        <v>545</v>
      </c>
      <c r="W41" s="1"/>
      <c r="X41" s="1"/>
      <c r="Y41" s="1"/>
      <c r="Z41" s="1"/>
      <c r="AA41" s="1"/>
      <c r="AB41" s="1"/>
      <c r="AC41" s="1" t="s">
        <v>546</v>
      </c>
      <c r="AD41" s="1" t="s">
        <v>623</v>
      </c>
      <c r="AE41" s="1"/>
      <c r="AF41" s="1"/>
      <c r="AG41" s="1"/>
      <c r="AH41" s="1" t="s">
        <v>624</v>
      </c>
      <c r="AI41" s="1"/>
      <c r="AJ41" s="1"/>
      <c r="AK41" s="1"/>
      <c r="AL41" s="1" t="s">
        <v>625</v>
      </c>
      <c r="AM41" s="1"/>
      <c r="AN41" s="1"/>
      <c r="AO41" s="1"/>
      <c r="AP41" s="1" t="s">
        <v>626</v>
      </c>
      <c r="AQ41" s="1"/>
      <c r="AR41" s="1"/>
      <c r="AS41" s="1"/>
      <c r="AT41" s="1" t="s">
        <v>545</v>
      </c>
      <c r="AU41" s="1"/>
      <c r="AV41" s="1"/>
      <c r="AW41" s="1"/>
      <c r="AX41" s="1"/>
      <c r="AY41" s="1"/>
      <c r="AZ41" s="1"/>
      <c r="BA41" s="1" t="s">
        <v>546</v>
      </c>
      <c r="BB41" s="1" t="s">
        <v>548</v>
      </c>
      <c r="BC41" s="1"/>
      <c r="BI41">
        <v>14</v>
      </c>
    </row>
    <row r="42" spans="1:61" ht="35.65" customHeight="1" x14ac:dyDescent="0.15">
      <c r="S42" s="1"/>
      <c r="T42" s="1"/>
      <c r="V42" s="1" t="s">
        <v>627</v>
      </c>
      <c r="W42" s="1"/>
      <c r="X42" s="1" t="s">
        <v>628</v>
      </c>
      <c r="Y42" s="1"/>
      <c r="Z42" s="1" t="s">
        <v>629</v>
      </c>
      <c r="AA42" s="1"/>
      <c r="AB42" s="1"/>
      <c r="AC42" s="1"/>
      <c r="AD42" s="1"/>
      <c r="AE42" s="1"/>
      <c r="AF42" s="1"/>
      <c r="AG42" s="1"/>
      <c r="AH42" s="1"/>
      <c r="AI42" s="1"/>
      <c r="AJ42" s="1"/>
      <c r="AK42" s="1"/>
      <c r="AL42" s="1"/>
      <c r="AM42" s="1"/>
      <c r="AN42" s="1"/>
      <c r="AO42" s="1"/>
      <c r="AP42" s="1"/>
      <c r="AQ42" s="1"/>
      <c r="AR42" s="1"/>
      <c r="AS42" s="1"/>
      <c r="AT42" s="1" t="s">
        <v>627</v>
      </c>
      <c r="AU42" s="1"/>
      <c r="AV42" s="1" t="s">
        <v>628</v>
      </c>
      <c r="AW42" s="1"/>
      <c r="AX42" s="1" t="s">
        <v>629</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191</v>
      </c>
      <c r="C44" t="s">
        <v>192</v>
      </c>
      <c r="D44" t="s">
        <v>193</v>
      </c>
      <c r="E44" t="s">
        <v>553</v>
      </c>
      <c r="F44" t="s">
        <v>554</v>
      </c>
      <c r="G44" t="s">
        <v>555</v>
      </c>
      <c r="H44" t="s">
        <v>556</v>
      </c>
      <c r="I44" t="s">
        <v>557</v>
      </c>
      <c r="J44" t="s">
        <v>558</v>
      </c>
      <c r="K44" t="s">
        <v>559</v>
      </c>
      <c r="L44" t="s">
        <v>534</v>
      </c>
      <c r="S44" s="1"/>
      <c r="T44" s="1"/>
      <c r="V44" t="s">
        <v>593</v>
      </c>
      <c r="W44" t="s">
        <v>594</v>
      </c>
      <c r="X44" t="s">
        <v>593</v>
      </c>
      <c r="Y44" t="s">
        <v>594</v>
      </c>
      <c r="Z44" t="s">
        <v>562</v>
      </c>
      <c r="AA44" s="1" t="s">
        <v>563</v>
      </c>
      <c r="AB44" s="1"/>
      <c r="AC44" s="1"/>
      <c r="AD44" s="1"/>
      <c r="AE44" s="1"/>
      <c r="AF44" s="1"/>
      <c r="AG44" s="1"/>
      <c r="AH44" s="1"/>
      <c r="AI44" s="1"/>
      <c r="AJ44" s="1"/>
      <c r="AK44" s="1"/>
      <c r="AL44" s="1"/>
      <c r="AM44" s="1"/>
      <c r="AN44" s="1"/>
      <c r="AO44" s="1"/>
      <c r="AP44" s="1"/>
      <c r="AQ44" s="1"/>
      <c r="AR44" s="1"/>
      <c r="AS44" s="1"/>
      <c r="AT44" t="s">
        <v>593</v>
      </c>
      <c r="AU44" t="s">
        <v>594</v>
      </c>
      <c r="AV44" t="s">
        <v>593</v>
      </c>
      <c r="AW44" t="s">
        <v>594</v>
      </c>
      <c r="AX44" t="s">
        <v>562</v>
      </c>
      <c r="AY44" s="1" t="s">
        <v>563</v>
      </c>
      <c r="AZ44" s="1"/>
      <c r="BA44" s="1"/>
      <c r="BB44" s="1"/>
      <c r="BC44" s="1"/>
      <c r="BI44">
        <v>14</v>
      </c>
    </row>
    <row r="45" spans="1:61" ht="11.25"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295</v>
      </c>
      <c r="E46" s="1">
        <v>1</v>
      </c>
      <c r="S46">
        <f>INDEX(PT_DIFFERENTIATION_NUM_NTAR,MATCH(A46,PT_DIFFERENTIATION_NTAR_ID,0))</f>
        <v>0</v>
      </c>
      <c r="T46" t="s">
        <v>179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295</v>
      </c>
      <c r="B47" t="s">
        <v>296</v>
      </c>
      <c r="E47" s="1"/>
      <c r="F47" s="1">
        <v>1</v>
      </c>
      <c r="S47" t="str">
        <f>INDEX(PT_DIFFERENTIATION_NUM_TER,MATCH(B47,PT_DIFFERENTIATION_TER_ID,0))</f>
        <v>.</v>
      </c>
      <c r="T47" t="s">
        <v>515</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516</v>
      </c>
      <c r="BF47" t="str">
        <f t="shared" si="3"/>
        <v>Территория действия тарифа</v>
      </c>
      <c r="BI47">
        <v>21</v>
      </c>
    </row>
    <row r="48" spans="1:61" ht="43.15" customHeight="1" x14ac:dyDescent="0.15">
      <c r="A48" t="s">
        <v>295</v>
      </c>
      <c r="B48" t="s">
        <v>296</v>
      </c>
      <c r="C48" t="s">
        <v>297</v>
      </c>
      <c r="E48" s="1"/>
      <c r="F48" s="1"/>
      <c r="G48" s="1">
        <v>1</v>
      </c>
      <c r="S48" t="str">
        <f>INDEX(PT_DIFFERENTIATION_NUM_CS,MATCH(C48,PT_DIFFERENTIATION_CS_ID,0))</f>
        <v>..</v>
      </c>
      <c r="T48" t="s">
        <v>596</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597</v>
      </c>
      <c r="BF48" t="str">
        <f t="shared" si="3"/>
        <v>Наименование централизованной системы холодного водоснабжения</v>
      </c>
      <c r="BI48">
        <v>41</v>
      </c>
    </row>
    <row r="49" spans="1:61" ht="0" hidden="1" customHeight="1" x14ac:dyDescent="0.15">
      <c r="A49" t="s">
        <v>295</v>
      </c>
      <c r="B49" t="s">
        <v>296</v>
      </c>
      <c r="C49" t="s">
        <v>297</v>
      </c>
      <c r="D49" t="s">
        <v>630</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520</v>
      </c>
      <c r="BF49" t="str">
        <f t="shared" si="3"/>
        <v/>
      </c>
      <c r="BI49">
        <v>0</v>
      </c>
    </row>
    <row r="50" spans="1:61" ht="0" hidden="1" customHeight="1" x14ac:dyDescent="0.15">
      <c r="A50" t="s">
        <v>295</v>
      </c>
      <c r="B50" t="s">
        <v>296</v>
      </c>
      <c r="C50" t="s">
        <v>297</v>
      </c>
      <c r="D50" t="s">
        <v>630</v>
      </c>
      <c r="E50" s="1"/>
      <c r="F50" s="1"/>
      <c r="G50" s="1"/>
      <c r="H50" s="1"/>
      <c r="I50" s="1" t="str">
        <f>S49&amp;".1"</f>
        <v>.1</v>
      </c>
      <c r="L50" t="s">
        <v>521</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295</v>
      </c>
      <c r="B51" t="s">
        <v>296</v>
      </c>
      <c r="C51" t="s">
        <v>297</v>
      </c>
      <c r="D51" t="s">
        <v>630</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295</v>
      </c>
      <c r="B52" t="s">
        <v>296</v>
      </c>
      <c r="C52" t="s">
        <v>297</v>
      </c>
      <c r="D52" t="s">
        <v>630</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616</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617</v>
      </c>
      <c r="BC53" s="1"/>
      <c r="BI53">
        <v>11</v>
      </c>
    </row>
    <row r="54" spans="1:61" ht="11.45" customHeight="1" x14ac:dyDescent="0.15">
      <c r="A54" t="s">
        <v>295</v>
      </c>
      <c r="E54" s="1"/>
      <c r="F54" s="1"/>
      <c r="G54" s="1"/>
      <c r="H54" s="1"/>
      <c r="I54" s="1"/>
      <c r="J54" s="1"/>
      <c r="K54" s="1"/>
      <c r="P54" s="1"/>
      <c r="Q54" s="1"/>
      <c r="S54" s="1"/>
      <c r="T54" s="1"/>
      <c r="AD54" s="1"/>
      <c r="AE54" s="1"/>
      <c r="AF54" s="1"/>
      <c r="AG54" s="1"/>
      <c r="AH54" s="1"/>
      <c r="AI54" s="1"/>
      <c r="AJ54" s="1"/>
      <c r="AK54" s="1"/>
      <c r="AL54" s="1"/>
      <c r="AO54" t="s">
        <v>618</v>
      </c>
      <c r="BC54" s="1"/>
      <c r="BI54">
        <v>11</v>
      </c>
    </row>
    <row r="55" spans="1:61" ht="11.45" customHeight="1" x14ac:dyDescent="0.15">
      <c r="A55" t="s">
        <v>295</v>
      </c>
      <c r="E55" s="1"/>
      <c r="F55" s="1"/>
      <c r="G55" s="1"/>
      <c r="H55" s="1"/>
      <c r="I55" s="1"/>
      <c r="J55" s="1"/>
      <c r="K55" s="1"/>
      <c r="P55" s="1"/>
      <c r="Q55" s="1"/>
      <c r="S55" s="1"/>
      <c r="T55" s="1"/>
      <c r="AD55" s="1"/>
      <c r="AE55" s="1"/>
      <c r="AF55" s="1"/>
      <c r="AG55" s="1"/>
      <c r="AH55" s="1"/>
      <c r="AK55" t="s">
        <v>619</v>
      </c>
      <c r="BC55" s="1"/>
      <c r="BI55">
        <v>11</v>
      </c>
    </row>
    <row r="56" spans="1:61" ht="11.45" customHeight="1" x14ac:dyDescent="0.15">
      <c r="A56" t="s">
        <v>295</v>
      </c>
      <c r="B56" t="s">
        <v>296</v>
      </c>
      <c r="C56" t="s">
        <v>297</v>
      </c>
      <c r="D56" t="s">
        <v>630</v>
      </c>
      <c r="E56" s="1"/>
      <c r="F56" s="1"/>
      <c r="G56" s="1"/>
      <c r="H56" s="1"/>
      <c r="I56" s="1"/>
      <c r="J56" s="1"/>
      <c r="K56" s="1"/>
      <c r="P56" s="1"/>
      <c r="Q56" s="1"/>
      <c r="S56" s="1"/>
      <c r="T56" s="1"/>
      <c r="W56" t="str">
        <f>Z52&amp;"-"&amp;AB52</f>
        <v>-</v>
      </c>
      <c r="Y56" t="str">
        <f>AB52&amp;"-"&amp;AD52</f>
        <v>-да</v>
      </c>
      <c r="AD56" s="1"/>
      <c r="AG56" t="s">
        <v>620</v>
      </c>
      <c r="AU56" t="str">
        <f>AX52&amp;"-"&amp;AZ52</f>
        <v>-</v>
      </c>
      <c r="AW56" t="str">
        <f>AZ52&amp;"-"&amp;BB52</f>
        <v>-</v>
      </c>
      <c r="BB56" t="str">
        <f>BE52&amp;"-"&amp;BG52</f>
        <v>-</v>
      </c>
      <c r="BC56" s="1"/>
      <c r="BF56" t="str">
        <f t="shared" ref="BF56:BF63" si="4">IF(T56="","",T56)</f>
        <v/>
      </c>
      <c r="BI56">
        <v>11</v>
      </c>
    </row>
    <row r="57" spans="1:61" ht="11.45" customHeight="1" x14ac:dyDescent="0.15">
      <c r="A57" t="s">
        <v>295</v>
      </c>
      <c r="B57" t="s">
        <v>296</v>
      </c>
      <c r="C57" t="s">
        <v>297</v>
      </c>
      <c r="D57" t="s">
        <v>630</v>
      </c>
      <c r="E57" s="1"/>
      <c r="F57" s="1"/>
      <c r="G57" s="1"/>
      <c r="H57" s="1"/>
      <c r="I57" s="1"/>
      <c r="J57" s="1"/>
      <c r="P57" s="1"/>
      <c r="Q57" s="1"/>
      <c r="T57" t="s">
        <v>583</v>
      </c>
      <c r="BC57" s="1"/>
      <c r="BF57" t="str">
        <f t="shared" si="4"/>
        <v>Добавить строку</v>
      </c>
      <c r="BI57">
        <v>11</v>
      </c>
    </row>
    <row r="58" spans="1:61" ht="0" hidden="1" customHeight="1" x14ac:dyDescent="0.15">
      <c r="A58" t="s">
        <v>295</v>
      </c>
      <c r="B58" t="s">
        <v>296</v>
      </c>
      <c r="C58" t="s">
        <v>297</v>
      </c>
      <c r="D58" t="s">
        <v>630</v>
      </c>
      <c r="E58" s="1"/>
      <c r="F58" s="1"/>
      <c r="G58" s="1"/>
      <c r="H58" s="1"/>
      <c r="I58" s="1"/>
      <c r="P58" s="1"/>
      <c r="BF58" t="str">
        <f t="shared" si="4"/>
        <v/>
      </c>
      <c r="BI58">
        <v>0</v>
      </c>
    </row>
    <row r="59" spans="1:61" ht="0" hidden="1" customHeight="1" x14ac:dyDescent="0.15">
      <c r="A59" t="s">
        <v>295</v>
      </c>
      <c r="B59" t="s">
        <v>296</v>
      </c>
      <c r="C59" t="s">
        <v>297</v>
      </c>
      <c r="D59" t="s">
        <v>630</v>
      </c>
      <c r="E59" s="1"/>
      <c r="F59" s="1"/>
      <c r="G59" s="1"/>
      <c r="H59" s="1"/>
      <c r="BF59" t="str">
        <f t="shared" si="4"/>
        <v/>
      </c>
      <c r="BI59">
        <v>0</v>
      </c>
    </row>
    <row r="60" spans="1:61" ht="0" hidden="1" customHeight="1" x14ac:dyDescent="0.15">
      <c r="A60" t="s">
        <v>295</v>
      </c>
      <c r="B60" t="s">
        <v>296</v>
      </c>
      <c r="C60" t="s">
        <v>297</v>
      </c>
      <c r="E60" s="1"/>
      <c r="F60" s="1"/>
      <c r="G60" s="1"/>
      <c r="BF60" t="str">
        <f t="shared" si="4"/>
        <v/>
      </c>
      <c r="BI60">
        <v>0</v>
      </c>
    </row>
    <row r="61" spans="1:61" ht="0" hidden="1" customHeight="1" x14ac:dyDescent="0.15">
      <c r="A61" t="s">
        <v>295</v>
      </c>
      <c r="B61" t="s">
        <v>296</v>
      </c>
      <c r="E61" s="1"/>
      <c r="F61" s="1"/>
      <c r="T61" t="s">
        <v>321</v>
      </c>
      <c r="BF61" t="str">
        <f t="shared" si="4"/>
        <v>Добавить централизованную систему для дифференциации</v>
      </c>
      <c r="BI61">
        <v>0</v>
      </c>
    </row>
    <row r="62" spans="1:61" ht="0" hidden="1" customHeight="1" x14ac:dyDescent="0.15">
      <c r="A62" t="s">
        <v>295</v>
      </c>
      <c r="E62" s="1"/>
      <c r="T62" t="s">
        <v>385</v>
      </c>
      <c r="BF62" t="str">
        <f t="shared" si="4"/>
        <v>Добавить территорию для дифференциации</v>
      </c>
      <c r="BI62">
        <v>0</v>
      </c>
    </row>
    <row r="63" spans="1:61" ht="0" hidden="1" customHeight="1" x14ac:dyDescent="0.15">
      <c r="T63" t="s">
        <v>386</v>
      </c>
      <c r="BF63" t="str">
        <f t="shared" si="4"/>
        <v>Добавить наименование тарифа</v>
      </c>
      <c r="BI63">
        <v>0</v>
      </c>
    </row>
    <row r="64" spans="1:61" ht="11.45" customHeight="1" x14ac:dyDescent="0.15">
      <c r="BI64">
        <v>11</v>
      </c>
    </row>
    <row r="65" spans="1:61" ht="19.899999999999999"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19</v>
      </c>
    </row>
    <row r="66" spans="1:61" ht="14.65" customHeight="1" x14ac:dyDescent="0.15">
      <c r="BI66">
        <v>14</v>
      </c>
    </row>
    <row r="67" spans="1:61"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19</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290"/>
  <sheetViews>
    <sheetView showGridLines="0" topLeftCell="P23" zoomScale="90" workbookViewId="0">
      <selection activeCell="BE211" sqref="BE211"/>
    </sheetView>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 customWidth="1"/>
    <col min="32" max="32" width="11" customWidth="1"/>
    <col min="33" max="33" width="3.7109375" customWidth="1"/>
    <col min="34" max="34" width="11" customWidth="1"/>
    <col min="35" max="35" width="8.5703125" customWidth="1"/>
    <col min="98" max="98" width="10.5703125" hidden="1"/>
    <col min="99" max="99" width="4" customWidth="1"/>
    <col min="100" max="100" width="115" customWidth="1"/>
    <col min="101" max="105" width="10" customWidth="1"/>
    <col min="106" max="106" width="10.5703125" hidden="1"/>
  </cols>
  <sheetData>
    <row r="1" spans="5:106" ht="22.5" hidden="1" customHeight="1" x14ac:dyDescent="0.15">
      <c r="DB1" t="s">
        <v>14</v>
      </c>
    </row>
    <row r="2" spans="5:106"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2" t="str">
        <f t="shared" ref="CY2:CY13" si="0">IF(T2="","",T2)</f>
        <v>Наименование тарифа</v>
      </c>
      <c r="DB2">
        <v>0</v>
      </c>
    </row>
    <row r="3" spans="5:106"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t="s">
        <v>516</v>
      </c>
      <c r="CY3" t="str">
        <f t="shared" si="0"/>
        <v>Территория действия тарифа</v>
      </c>
      <c r="DB3">
        <v>0</v>
      </c>
    </row>
    <row r="4" spans="5:106" ht="23.25" hidden="1" customHeight="1" x14ac:dyDescent="0.15">
      <c r="E4" s="1"/>
      <c r="F4" s="1"/>
      <c r="G4" s="1">
        <v>1</v>
      </c>
      <c r="S4" t="e">
        <f>INDEX(PT_DIFFERENTIATION_NUM_CS,MATCH(C4,PT_DIFFERENTIATION_CS_ID,0))</f>
        <v>#N/A</v>
      </c>
      <c r="T4" t="s">
        <v>631</v>
      </c>
      <c r="V4" s="1"/>
      <c r="W4" s="1"/>
      <c r="X4" s="1"/>
      <c r="Y4" s="1"/>
      <c r="Z4" s="1"/>
      <c r="AA4" s="1"/>
      <c r="AB4" s="1"/>
      <c r="AC4" s="1" t="e">
        <f>INDEX(PT_DIFFERENTIATION_CS,MATCH(C4,PT_DIFFERENTIATION_CS_ID,0))</f>
        <v>#N/A</v>
      </c>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t="s">
        <v>632</v>
      </c>
      <c r="CY4" t="str">
        <f t="shared" si="0"/>
        <v>Наименование централизованной системы водоотведения</v>
      </c>
      <c r="DB4">
        <v>0</v>
      </c>
    </row>
    <row r="5" spans="5:106"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t="s">
        <v>599</v>
      </c>
      <c r="CY5" t="str">
        <f t="shared" si="0"/>
        <v>Наименование признака дифференциации</v>
      </c>
      <c r="DB5">
        <v>0</v>
      </c>
    </row>
    <row r="6" spans="5:106"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t="s">
        <v>600</v>
      </c>
      <c r="CY6" t="str">
        <f t="shared" si="0"/>
        <v>Группа потребителей</v>
      </c>
      <c r="DB6">
        <v>0</v>
      </c>
    </row>
    <row r="7" spans="5:106"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M7" s="1"/>
      <c r="AN7" s="1" t="s">
        <v>63</v>
      </c>
      <c r="AO7" s="1"/>
      <c r="AP7" s="1" t="s">
        <v>63</v>
      </c>
      <c r="AT7" s="1"/>
      <c r="AU7" s="1" t="s">
        <v>63</v>
      </c>
      <c r="AV7" s="1"/>
      <c r="AW7" s="1" t="s">
        <v>63</v>
      </c>
      <c r="BA7" s="1"/>
      <c r="BB7" s="1" t="s">
        <v>63</v>
      </c>
      <c r="BC7" s="1"/>
      <c r="BD7" s="1" t="s">
        <v>63</v>
      </c>
      <c r="BH7" s="1"/>
      <c r="BI7" s="1" t="s">
        <v>63</v>
      </c>
      <c r="BJ7" s="1"/>
      <c r="BK7" s="1" t="s">
        <v>63</v>
      </c>
      <c r="BO7" s="1"/>
      <c r="BP7" s="1" t="s">
        <v>63</v>
      </c>
      <c r="BQ7" s="1"/>
      <c r="BR7" s="1" t="s">
        <v>63</v>
      </c>
      <c r="BV7" s="1"/>
      <c r="BW7" s="1" t="s">
        <v>63</v>
      </c>
      <c r="BX7" s="1"/>
      <c r="BY7" s="1" t="s">
        <v>63</v>
      </c>
      <c r="CC7" s="1"/>
      <c r="CD7" s="1" t="s">
        <v>63</v>
      </c>
      <c r="CE7" s="1"/>
      <c r="CF7" s="1" t="s">
        <v>63</v>
      </c>
      <c r="CJ7" s="1"/>
      <c r="CK7" s="1" t="s">
        <v>63</v>
      </c>
      <c r="CL7" s="1"/>
      <c r="CM7" s="1" t="s">
        <v>63</v>
      </c>
      <c r="CQ7" s="1"/>
      <c r="CR7" s="1" t="s">
        <v>63</v>
      </c>
      <c r="CS7" s="1"/>
      <c r="CT7" s="1" t="s">
        <v>63</v>
      </c>
      <c r="CV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t="e">
        <f ca="1">STRCHECKDATE(V8:CU8)</f>
        <v>#NAME?</v>
      </c>
      <c r="CY7" t="str">
        <f t="shared" si="0"/>
        <v/>
      </c>
      <c r="DB7">
        <v>0</v>
      </c>
    </row>
    <row r="8" spans="5:106" ht="14.25" hidden="1" customHeight="1" x14ac:dyDescent="0.15">
      <c r="E8" s="1"/>
      <c r="F8" s="1"/>
      <c r="G8" s="1"/>
      <c r="H8" s="1"/>
      <c r="I8" s="1"/>
      <c r="J8" s="1"/>
      <c r="K8" s="1"/>
      <c r="P8" s="1"/>
      <c r="Q8" s="1"/>
      <c r="X8" t="str">
        <f>Y7&amp;"-"&amp;AA7</f>
        <v>-</v>
      </c>
      <c r="Y8" s="1"/>
      <c r="Z8" s="1"/>
      <c r="AA8" s="1"/>
      <c r="AB8" s="1"/>
      <c r="AE8" t="str">
        <f>AF7&amp;"-"&amp;AH7</f>
        <v>-</v>
      </c>
      <c r="AF8" s="1"/>
      <c r="AG8" s="1"/>
      <c r="AH8" s="1"/>
      <c r="AI8" s="1"/>
      <c r="AL8" t="str">
        <f>AM7&amp;"-"&amp;AO7</f>
        <v>-</v>
      </c>
      <c r="AM8" s="1"/>
      <c r="AN8" s="1"/>
      <c r="AO8" s="1"/>
      <c r="AP8" s="1"/>
      <c r="AS8" t="str">
        <f>AT7&amp;"-"&amp;AV7</f>
        <v>-</v>
      </c>
      <c r="AT8" s="1"/>
      <c r="AU8" s="1"/>
      <c r="AV8" s="1"/>
      <c r="AW8" s="1"/>
      <c r="AZ8" t="str">
        <f>BA7&amp;"-"&amp;BC7</f>
        <v>-</v>
      </c>
      <c r="BA8" s="1"/>
      <c r="BB8" s="1"/>
      <c r="BC8" s="1"/>
      <c r="BD8" s="1"/>
      <c r="BG8" t="str">
        <f>BH7&amp;"-"&amp;BJ7</f>
        <v>-</v>
      </c>
      <c r="BH8" s="1"/>
      <c r="BI8" s="1"/>
      <c r="BJ8" s="1"/>
      <c r="BK8" s="1"/>
      <c r="BN8" t="str">
        <f>BO7&amp;"-"&amp;BQ7</f>
        <v>-</v>
      </c>
      <c r="BO8" s="1"/>
      <c r="BP8" s="1"/>
      <c r="BQ8" s="1"/>
      <c r="BR8" s="1"/>
      <c r="BU8" t="str">
        <f>BV7&amp;"-"&amp;BX7</f>
        <v>-</v>
      </c>
      <c r="BV8" s="1"/>
      <c r="BW8" s="1"/>
      <c r="BX8" s="1"/>
      <c r="BY8" s="1"/>
      <c r="CB8" t="str">
        <f>CC7&amp;"-"&amp;CE7</f>
        <v>-</v>
      </c>
      <c r="CC8" s="1"/>
      <c r="CD8" s="1"/>
      <c r="CE8" s="1"/>
      <c r="CF8" s="1"/>
      <c r="CI8" t="str">
        <f>CJ7&amp;"-"&amp;CL7</f>
        <v>-</v>
      </c>
      <c r="CJ8" s="1"/>
      <c r="CK8" s="1"/>
      <c r="CL8" s="1"/>
      <c r="CM8" s="1"/>
      <c r="CP8" t="str">
        <f>CQ7&amp;"-"&amp;CS7</f>
        <v>-</v>
      </c>
      <c r="CQ8" s="1"/>
      <c r="CR8" s="1"/>
      <c r="CS8" s="1"/>
      <c r="CT8" s="1"/>
      <c r="CV8" s="1"/>
      <c r="CY8" t="str">
        <f t="shared" si="0"/>
        <v/>
      </c>
      <c r="DB8">
        <v>0</v>
      </c>
    </row>
    <row r="9" spans="5:106" ht="21" hidden="1" customHeight="1" x14ac:dyDescent="0.15">
      <c r="E9" s="1"/>
      <c r="F9" s="1"/>
      <c r="G9" s="1"/>
      <c r="H9" s="1"/>
      <c r="I9" s="1"/>
      <c r="J9" s="1"/>
      <c r="P9" s="1"/>
      <c r="Q9" s="1"/>
      <c r="T9" t="s">
        <v>601</v>
      </c>
      <c r="CV9" t="s">
        <v>602</v>
      </c>
      <c r="CY9" t="str">
        <f t="shared" si="0"/>
        <v>Добавить значение признака дифференциации</v>
      </c>
      <c r="DB9">
        <v>0</v>
      </c>
    </row>
    <row r="10" spans="5:106" ht="21" hidden="1" customHeight="1" x14ac:dyDescent="0.15">
      <c r="E10" s="1"/>
      <c r="F10" s="1"/>
      <c r="G10" s="1"/>
      <c r="H10" s="1"/>
      <c r="I10" s="1"/>
      <c r="P10" s="1"/>
      <c r="T10" t="s">
        <v>530</v>
      </c>
      <c r="CY10" t="str">
        <f t="shared" si="0"/>
        <v>Добавить группу потребителей</v>
      </c>
      <c r="DB10">
        <v>0</v>
      </c>
    </row>
    <row r="11" spans="5:106" ht="21" hidden="1" customHeight="1" x14ac:dyDescent="0.15">
      <c r="E11" s="1"/>
      <c r="F11" s="1"/>
      <c r="G11" s="1"/>
      <c r="H11" s="1"/>
      <c r="T11" t="s">
        <v>603</v>
      </c>
      <c r="CY11" t="str">
        <f t="shared" si="0"/>
        <v>Добавить наименование признака дифференциации</v>
      </c>
      <c r="DB11">
        <v>0</v>
      </c>
    </row>
    <row r="12" spans="5:106" ht="14.25" hidden="1" customHeight="1" x14ac:dyDescent="0.15">
      <c r="E12" s="1"/>
      <c r="F12" s="1"/>
      <c r="T12" t="s">
        <v>321</v>
      </c>
      <c r="CY12" t="str">
        <f t="shared" si="0"/>
        <v>Добавить централизованную систему для дифференциации</v>
      </c>
      <c r="DB12">
        <v>0</v>
      </c>
    </row>
    <row r="13" spans="5:106" ht="14.25" hidden="1" customHeight="1" x14ac:dyDescent="0.15">
      <c r="E13" s="1"/>
      <c r="T13" t="s">
        <v>385</v>
      </c>
      <c r="CY13" t="str">
        <f t="shared" si="0"/>
        <v>Добавить территорию для дифференциации</v>
      </c>
      <c r="DB13">
        <v>0</v>
      </c>
    </row>
    <row r="14" spans="5:106" ht="14.25" hidden="1" customHeight="1" x14ac:dyDescent="0.15">
      <c r="DB14">
        <v>0</v>
      </c>
    </row>
    <row r="15" spans="5:106" ht="14.25" hidden="1" customHeight="1" x14ac:dyDescent="0.15">
      <c r="AF15" s="1"/>
      <c r="AG15" s="1" t="s">
        <v>63</v>
      </c>
      <c r="AH15" s="1"/>
      <c r="AI15" s="1" t="s">
        <v>63</v>
      </c>
      <c r="DB15">
        <v>0</v>
      </c>
    </row>
    <row r="16" spans="5:106" ht="14.25" hidden="1" customHeight="1" x14ac:dyDescent="0.15">
      <c r="AE16" t="str">
        <f>AF15&amp;"-"&amp;AH15</f>
        <v>-</v>
      </c>
      <c r="AF16" s="1"/>
      <c r="AG16" s="1"/>
      <c r="AH16" s="1"/>
      <c r="AI16" s="1"/>
      <c r="DB16">
        <v>0</v>
      </c>
    </row>
    <row r="17" spans="15:106" ht="14.25" hidden="1" customHeight="1" x14ac:dyDescent="0.15">
      <c r="DB17">
        <v>0</v>
      </c>
    </row>
    <row r="18" spans="15:106" ht="22.5" hidden="1" customHeight="1" x14ac:dyDescent="0.15">
      <c r="O18" t="s">
        <v>533</v>
      </c>
      <c r="DB18">
        <v>0</v>
      </c>
    </row>
    <row r="19" spans="15:106" ht="14.25" hidden="1" customHeight="1" x14ac:dyDescent="0.15">
      <c r="DB19">
        <v>0</v>
      </c>
    </row>
    <row r="20" spans="15:106" ht="12" hidden="1" customHeight="1" x14ac:dyDescent="0.15">
      <c r="O20" t="s">
        <v>534</v>
      </c>
      <c r="T20" t="s">
        <v>535</v>
      </c>
      <c r="Z20" t="s">
        <v>536</v>
      </c>
      <c r="AB20" t="s">
        <v>537</v>
      </c>
      <c r="AC20" t="s">
        <v>535</v>
      </c>
      <c r="AG20" t="s">
        <v>538</v>
      </c>
      <c r="AI20" t="s">
        <v>537</v>
      </c>
      <c r="AN20" t="s">
        <v>536</v>
      </c>
      <c r="AP20" t="s">
        <v>537</v>
      </c>
      <c r="AU20" t="s">
        <v>536</v>
      </c>
      <c r="AW20" t="s">
        <v>537</v>
      </c>
      <c r="BB20" t="s">
        <v>536</v>
      </c>
      <c r="BD20" t="s">
        <v>537</v>
      </c>
      <c r="BI20" t="s">
        <v>536</v>
      </c>
      <c r="BK20" t="s">
        <v>537</v>
      </c>
      <c r="BP20" t="s">
        <v>536</v>
      </c>
      <c r="BR20" t="s">
        <v>537</v>
      </c>
      <c r="BW20" t="s">
        <v>536</v>
      </c>
      <c r="BY20" t="s">
        <v>537</v>
      </c>
      <c r="CD20" t="s">
        <v>536</v>
      </c>
      <c r="CF20" t="s">
        <v>537</v>
      </c>
      <c r="CK20" t="s">
        <v>536</v>
      </c>
      <c r="CM20" t="s">
        <v>537</v>
      </c>
      <c r="CR20" t="s">
        <v>536</v>
      </c>
      <c r="CT20" t="s">
        <v>537</v>
      </c>
      <c r="DB20">
        <v>0</v>
      </c>
    </row>
    <row r="21" spans="15:106" ht="14.25" hidden="1" customHeight="1" x14ac:dyDescent="0.15">
      <c r="DB21">
        <v>0</v>
      </c>
    </row>
    <row r="22" spans="15:106" ht="14.25" hidden="1" customHeight="1" x14ac:dyDescent="0.15">
      <c r="DB22">
        <v>0</v>
      </c>
    </row>
    <row r="23" spans="15:106" ht="14.65" customHeight="1" x14ac:dyDescent="0.15">
      <c r="DB23">
        <v>14</v>
      </c>
    </row>
    <row r="24" spans="15:106" ht="14.65" customHeight="1" x14ac:dyDescent="0.15">
      <c r="S24" s="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
      <c r="U24" s="1"/>
      <c r="V24" s="1"/>
      <c r="W24" s="1"/>
      <c r="X24" s="1"/>
      <c r="Y24" s="1"/>
      <c r="Z24" s="1"/>
      <c r="AA24" s="1"/>
      <c r="AB24" s="1"/>
      <c r="AC24" s="1"/>
      <c r="AD24" s="1"/>
      <c r="AE24" s="1"/>
      <c r="AF24" s="1"/>
      <c r="AG24" s="1"/>
      <c r="AH24" s="1"/>
      <c r="DB24">
        <v>14</v>
      </c>
    </row>
    <row r="25" spans="15:106"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DB25">
        <v>14</v>
      </c>
    </row>
    <row r="26" spans="15:106" ht="0" hidden="1" customHeight="1" x14ac:dyDescent="0.15">
      <c r="DB26">
        <v>0</v>
      </c>
    </row>
    <row r="27" spans="15:106"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J27" s="1" t="str">
        <f>IF(TITLE_NAME_OR_PR_CHANGE="",IF(TITLE_NAME_OR_PR="","",TITLE_NAME_OR_PR),TITLE_NAME_OR_PR_CHANGE)</f>
        <v>Агентство по тарифам Приморского края</v>
      </c>
      <c r="AK27" s="1"/>
      <c r="AL27" s="1"/>
      <c r="AM27" s="1"/>
      <c r="AN27" s="1"/>
      <c r="AO27" s="1"/>
      <c r="AQ27" s="1" t="str">
        <f>IF(TITLE_NAME_OR_PR_CHANGE="",IF(TITLE_NAME_OR_PR="","",TITLE_NAME_OR_PR),TITLE_NAME_OR_PR_CHANGE)</f>
        <v>Агентство по тарифам Приморского края</v>
      </c>
      <c r="AR27" s="1"/>
      <c r="AS27" s="1"/>
      <c r="AT27" s="1"/>
      <c r="AU27" s="1"/>
      <c r="AV27" s="1"/>
      <c r="AX27" s="1" t="str">
        <f>IF(TITLE_NAME_OR_PR_CHANGE="",IF(TITLE_NAME_OR_PR="","",TITLE_NAME_OR_PR),TITLE_NAME_OR_PR_CHANGE)</f>
        <v>Агентство по тарифам Приморского края</v>
      </c>
      <c r="AY27" s="1"/>
      <c r="AZ27" s="1"/>
      <c r="BA27" s="1"/>
      <c r="BB27" s="1"/>
      <c r="BC27" s="1"/>
      <c r="BE27" s="1" t="str">
        <f>IF(TITLE_NAME_OR_PR_CHANGE="",IF(TITLE_NAME_OR_PR="","",TITLE_NAME_OR_PR),TITLE_NAME_OR_PR_CHANGE)</f>
        <v>Агентство по тарифам Приморского края</v>
      </c>
      <c r="BF27" s="1"/>
      <c r="BG27" s="1"/>
      <c r="BH27" s="1"/>
      <c r="BI27" s="1"/>
      <c r="BJ27" s="1"/>
      <c r="BL27" s="1" t="str">
        <f>IF(TITLE_NAME_OR_PR_CHANGE="",IF(TITLE_NAME_OR_PR="","",TITLE_NAME_OR_PR),TITLE_NAME_OR_PR_CHANGE)</f>
        <v>Агентство по тарифам Приморского края</v>
      </c>
      <c r="BM27" s="1"/>
      <c r="BN27" s="1"/>
      <c r="BO27" s="1"/>
      <c r="BP27" s="1"/>
      <c r="BQ27" s="1"/>
      <c r="BS27" s="1" t="str">
        <f>IF(TITLE_NAME_OR_PR_CHANGE="",IF(TITLE_NAME_OR_PR="","",TITLE_NAME_OR_PR),TITLE_NAME_OR_PR_CHANGE)</f>
        <v>Агентство по тарифам Приморского края</v>
      </c>
      <c r="BT27" s="1"/>
      <c r="BU27" s="1"/>
      <c r="BV27" s="1"/>
      <c r="BW27" s="1"/>
      <c r="BX27" s="1"/>
      <c r="BZ27" s="1" t="str">
        <f>IF(TITLE_NAME_OR_PR_CHANGE="",IF(TITLE_NAME_OR_PR="","",TITLE_NAME_OR_PR),TITLE_NAME_OR_PR_CHANGE)</f>
        <v>Агентство по тарифам Приморского края</v>
      </c>
      <c r="CA27" s="1"/>
      <c r="CB27" s="1"/>
      <c r="CC27" s="1"/>
      <c r="CD27" s="1"/>
      <c r="CE27" s="1"/>
      <c r="CG27" s="1" t="str">
        <f>IF(TITLE_NAME_OR_PR_CHANGE="",IF(TITLE_NAME_OR_PR="","",TITLE_NAME_OR_PR),TITLE_NAME_OR_PR_CHANGE)</f>
        <v>Агентство по тарифам Приморского края</v>
      </c>
      <c r="CH27" s="1"/>
      <c r="CI27" s="1"/>
      <c r="CJ27" s="1"/>
      <c r="CK27" s="1"/>
      <c r="CL27" s="1"/>
      <c r="CN27" s="1" t="str">
        <f>IF(TITLE_NAME_OR_PR_CHANGE="",IF(TITLE_NAME_OR_PR="","",TITLE_NAME_OR_PR),TITLE_NAME_OR_PR_CHANGE)</f>
        <v>Агентство по тарифам Приморского края</v>
      </c>
      <c r="CO27" s="1"/>
      <c r="CP27" s="1"/>
      <c r="CQ27" s="1"/>
      <c r="CR27" s="1"/>
      <c r="CS27" s="1"/>
      <c r="DB27">
        <v>0</v>
      </c>
    </row>
    <row r="28" spans="15:106"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J28" s="1">
        <f>IF(TITLE_DATE_PR_CHANGE="",IF(TITLE_DATE_PR="","",TITLE_DATE_PR),TITLE_DATE_PR_CHANGE)</f>
        <v>45653.495844907404</v>
      </c>
      <c r="AK28" s="1"/>
      <c r="AL28" s="1"/>
      <c r="AM28" s="1"/>
      <c r="AN28" s="1"/>
      <c r="AO28" s="1"/>
      <c r="AQ28" s="1">
        <f>IF(TITLE_DATE_PR_CHANGE="",IF(TITLE_DATE_PR="","",TITLE_DATE_PR),TITLE_DATE_PR_CHANGE)</f>
        <v>45653.495844907404</v>
      </c>
      <c r="AR28" s="1"/>
      <c r="AS28" s="1"/>
      <c r="AT28" s="1"/>
      <c r="AU28" s="1"/>
      <c r="AV28" s="1"/>
      <c r="AX28" s="1">
        <f>IF(TITLE_DATE_PR_CHANGE="",IF(TITLE_DATE_PR="","",TITLE_DATE_PR),TITLE_DATE_PR_CHANGE)</f>
        <v>45653.495844907404</v>
      </c>
      <c r="AY28" s="1"/>
      <c r="AZ28" s="1"/>
      <c r="BA28" s="1"/>
      <c r="BB28" s="1"/>
      <c r="BC28" s="1"/>
      <c r="BE28" s="1">
        <f>IF(TITLE_DATE_PR_CHANGE="",IF(TITLE_DATE_PR="","",TITLE_DATE_PR),TITLE_DATE_PR_CHANGE)</f>
        <v>45653.495844907404</v>
      </c>
      <c r="BF28" s="1"/>
      <c r="BG28" s="1"/>
      <c r="BH28" s="1"/>
      <c r="BI28" s="1"/>
      <c r="BJ28" s="1"/>
      <c r="BL28" s="1">
        <f>IF(TITLE_DATE_PR_CHANGE="",IF(TITLE_DATE_PR="","",TITLE_DATE_PR),TITLE_DATE_PR_CHANGE)</f>
        <v>45653.495844907404</v>
      </c>
      <c r="BM28" s="1"/>
      <c r="BN28" s="1"/>
      <c r="BO28" s="1"/>
      <c r="BP28" s="1"/>
      <c r="BQ28" s="1"/>
      <c r="BS28" s="1">
        <f>IF(TITLE_DATE_PR_CHANGE="",IF(TITLE_DATE_PR="","",TITLE_DATE_PR),TITLE_DATE_PR_CHANGE)</f>
        <v>45653.495844907404</v>
      </c>
      <c r="BT28" s="1"/>
      <c r="BU28" s="1"/>
      <c r="BV28" s="1"/>
      <c r="BW28" s="1"/>
      <c r="BX28" s="1"/>
      <c r="BZ28" s="1">
        <f>IF(TITLE_DATE_PR_CHANGE="",IF(TITLE_DATE_PR="","",TITLE_DATE_PR),TITLE_DATE_PR_CHANGE)</f>
        <v>45653.495844907404</v>
      </c>
      <c r="CA28" s="1"/>
      <c r="CB28" s="1"/>
      <c r="CC28" s="1"/>
      <c r="CD28" s="1"/>
      <c r="CE28" s="1"/>
      <c r="CG28" s="1">
        <f>IF(TITLE_DATE_PR_CHANGE="",IF(TITLE_DATE_PR="","",TITLE_DATE_PR),TITLE_DATE_PR_CHANGE)</f>
        <v>45653.495844907404</v>
      </c>
      <c r="CH28" s="1"/>
      <c r="CI28" s="1"/>
      <c r="CJ28" s="1"/>
      <c r="CK28" s="1"/>
      <c r="CL28" s="1"/>
      <c r="CN28" s="1">
        <f>IF(TITLE_DATE_PR_CHANGE="",IF(TITLE_DATE_PR="","",TITLE_DATE_PR),TITLE_DATE_PR_CHANGE)</f>
        <v>45653.495844907404</v>
      </c>
      <c r="CO28" s="1"/>
      <c r="CP28" s="1"/>
      <c r="CQ28" s="1"/>
      <c r="CR28" s="1"/>
      <c r="CS28" s="1"/>
      <c r="DB28">
        <v>0</v>
      </c>
    </row>
    <row r="29" spans="15:106"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J29" s="1" t="str">
        <f>IF(TITLE_NUMBER_PR_CHANGE="",IF(TITLE_NUMBER_PR="","",TITLE_NUMBER_PR),TITLE_NUMBER_PR_CHANGE)</f>
        <v>63/2</v>
      </c>
      <c r="AK29" s="1"/>
      <c r="AL29" s="1"/>
      <c r="AM29" s="1"/>
      <c r="AN29" s="1"/>
      <c r="AO29" s="1"/>
      <c r="AQ29" s="1" t="str">
        <f>IF(TITLE_NUMBER_PR_CHANGE="",IF(TITLE_NUMBER_PR="","",TITLE_NUMBER_PR),TITLE_NUMBER_PR_CHANGE)</f>
        <v>63/2</v>
      </c>
      <c r="AR29" s="1"/>
      <c r="AS29" s="1"/>
      <c r="AT29" s="1"/>
      <c r="AU29" s="1"/>
      <c r="AV29" s="1"/>
      <c r="AX29" s="1" t="str">
        <f>IF(TITLE_NUMBER_PR_CHANGE="",IF(TITLE_NUMBER_PR="","",TITLE_NUMBER_PR),TITLE_NUMBER_PR_CHANGE)</f>
        <v>63/2</v>
      </c>
      <c r="AY29" s="1"/>
      <c r="AZ29" s="1"/>
      <c r="BA29" s="1"/>
      <c r="BB29" s="1"/>
      <c r="BC29" s="1"/>
      <c r="BE29" s="1" t="str">
        <f>IF(TITLE_NUMBER_PR_CHANGE="",IF(TITLE_NUMBER_PR="","",TITLE_NUMBER_PR),TITLE_NUMBER_PR_CHANGE)</f>
        <v>63/2</v>
      </c>
      <c r="BF29" s="1"/>
      <c r="BG29" s="1"/>
      <c r="BH29" s="1"/>
      <c r="BI29" s="1"/>
      <c r="BJ29" s="1"/>
      <c r="BL29" s="1" t="str">
        <f>IF(TITLE_NUMBER_PR_CHANGE="",IF(TITLE_NUMBER_PR="","",TITLE_NUMBER_PR),TITLE_NUMBER_PR_CHANGE)</f>
        <v>63/2</v>
      </c>
      <c r="BM29" s="1"/>
      <c r="BN29" s="1"/>
      <c r="BO29" s="1"/>
      <c r="BP29" s="1"/>
      <c r="BQ29" s="1"/>
      <c r="BS29" s="1" t="str">
        <f>IF(TITLE_NUMBER_PR_CHANGE="",IF(TITLE_NUMBER_PR="","",TITLE_NUMBER_PR),TITLE_NUMBER_PR_CHANGE)</f>
        <v>63/2</v>
      </c>
      <c r="BT29" s="1"/>
      <c r="BU29" s="1"/>
      <c r="BV29" s="1"/>
      <c r="BW29" s="1"/>
      <c r="BX29" s="1"/>
      <c r="BZ29" s="1" t="str">
        <f>IF(TITLE_NUMBER_PR_CHANGE="",IF(TITLE_NUMBER_PR="","",TITLE_NUMBER_PR),TITLE_NUMBER_PR_CHANGE)</f>
        <v>63/2</v>
      </c>
      <c r="CA29" s="1"/>
      <c r="CB29" s="1"/>
      <c r="CC29" s="1"/>
      <c r="CD29" s="1"/>
      <c r="CE29" s="1"/>
      <c r="CG29" s="1" t="str">
        <f>IF(TITLE_NUMBER_PR_CHANGE="",IF(TITLE_NUMBER_PR="","",TITLE_NUMBER_PR),TITLE_NUMBER_PR_CHANGE)</f>
        <v>63/2</v>
      </c>
      <c r="CH29" s="1"/>
      <c r="CI29" s="1"/>
      <c r="CJ29" s="1"/>
      <c r="CK29" s="1"/>
      <c r="CL29" s="1"/>
      <c r="CN29" s="1" t="str">
        <f>IF(TITLE_NUMBER_PR_CHANGE="",IF(TITLE_NUMBER_PR="","",TITLE_NUMBER_PR),TITLE_NUMBER_PR_CHANGE)</f>
        <v>63/2</v>
      </c>
      <c r="CO29" s="1"/>
      <c r="CP29" s="1"/>
      <c r="CQ29" s="1"/>
      <c r="CR29" s="1"/>
      <c r="CS29" s="1"/>
      <c r="DB29">
        <v>0</v>
      </c>
    </row>
    <row r="30" spans="15:106"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J30" s="1" t="str">
        <f>IF(TITLE_IST_PUB_CHANGE="",IF(TITLE_IST_PUB="","",TITLE_IST_PUB),TITLE_IST_PUB_CHANGE)</f>
        <v>http://pravo.gov.ru</v>
      </c>
      <c r="AK30" s="1"/>
      <c r="AL30" s="1"/>
      <c r="AM30" s="1"/>
      <c r="AN30" s="1"/>
      <c r="AO30" s="1"/>
      <c r="AQ30" s="1" t="str">
        <f>IF(TITLE_IST_PUB_CHANGE="",IF(TITLE_IST_PUB="","",TITLE_IST_PUB),TITLE_IST_PUB_CHANGE)</f>
        <v>http://pravo.gov.ru</v>
      </c>
      <c r="AR30" s="1"/>
      <c r="AS30" s="1"/>
      <c r="AT30" s="1"/>
      <c r="AU30" s="1"/>
      <c r="AV30" s="1"/>
      <c r="AX30" s="1" t="str">
        <f>IF(TITLE_IST_PUB_CHANGE="",IF(TITLE_IST_PUB="","",TITLE_IST_PUB),TITLE_IST_PUB_CHANGE)</f>
        <v>http://pravo.gov.ru</v>
      </c>
      <c r="AY30" s="1"/>
      <c r="AZ30" s="1"/>
      <c r="BA30" s="1"/>
      <c r="BB30" s="1"/>
      <c r="BC30" s="1"/>
      <c r="BE30" s="1" t="str">
        <f>IF(TITLE_IST_PUB_CHANGE="",IF(TITLE_IST_PUB="","",TITLE_IST_PUB),TITLE_IST_PUB_CHANGE)</f>
        <v>http://pravo.gov.ru</v>
      </c>
      <c r="BF30" s="1"/>
      <c r="BG30" s="1"/>
      <c r="BH30" s="1"/>
      <c r="BI30" s="1"/>
      <c r="BJ30" s="1"/>
      <c r="BL30" s="1" t="str">
        <f>IF(TITLE_IST_PUB_CHANGE="",IF(TITLE_IST_PUB="","",TITLE_IST_PUB),TITLE_IST_PUB_CHANGE)</f>
        <v>http://pravo.gov.ru</v>
      </c>
      <c r="BM30" s="1"/>
      <c r="BN30" s="1"/>
      <c r="BO30" s="1"/>
      <c r="BP30" s="1"/>
      <c r="BQ30" s="1"/>
      <c r="BS30" s="1" t="str">
        <f>IF(TITLE_IST_PUB_CHANGE="",IF(TITLE_IST_PUB="","",TITLE_IST_PUB),TITLE_IST_PUB_CHANGE)</f>
        <v>http://pravo.gov.ru</v>
      </c>
      <c r="BT30" s="1"/>
      <c r="BU30" s="1"/>
      <c r="BV30" s="1"/>
      <c r="BW30" s="1"/>
      <c r="BX30" s="1"/>
      <c r="BZ30" s="1" t="str">
        <f>IF(TITLE_IST_PUB_CHANGE="",IF(TITLE_IST_PUB="","",TITLE_IST_PUB),TITLE_IST_PUB_CHANGE)</f>
        <v>http://pravo.gov.ru</v>
      </c>
      <c r="CA30" s="1"/>
      <c r="CB30" s="1"/>
      <c r="CC30" s="1"/>
      <c r="CD30" s="1"/>
      <c r="CE30" s="1"/>
      <c r="CG30" s="1" t="str">
        <f>IF(TITLE_IST_PUB_CHANGE="",IF(TITLE_IST_PUB="","",TITLE_IST_PUB),TITLE_IST_PUB_CHANGE)</f>
        <v>http://pravo.gov.ru</v>
      </c>
      <c r="CH30" s="1"/>
      <c r="CI30" s="1"/>
      <c r="CJ30" s="1"/>
      <c r="CK30" s="1"/>
      <c r="CL30" s="1"/>
      <c r="CN30" s="1" t="str">
        <f>IF(TITLE_IST_PUB_CHANGE="",IF(TITLE_IST_PUB="","",TITLE_IST_PUB),TITLE_IST_PUB_CHANGE)</f>
        <v>http://pravo.gov.ru</v>
      </c>
      <c r="CO30" s="1"/>
      <c r="CP30" s="1"/>
      <c r="CQ30" s="1"/>
      <c r="CR30" s="1"/>
      <c r="CS30" s="1"/>
      <c r="DB30">
        <v>0</v>
      </c>
    </row>
    <row r="31" spans="15:106" ht="14.25" hidden="1" customHeight="1" x14ac:dyDescent="0.15">
      <c r="DB31">
        <v>0</v>
      </c>
    </row>
    <row r="32" spans="15:106"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J32" s="1">
        <f>IF(TITLE_DATE_PR_CHANGE="",IF(TITLE_DATE_PR="","",TITLE_DATE_PR),TITLE_DATE_PR_CHANGE)</f>
        <v>45653.495844907404</v>
      </c>
      <c r="AK32" s="1"/>
      <c r="AL32" s="1"/>
      <c r="AM32" s="1"/>
      <c r="AN32" s="1"/>
      <c r="AO32" s="1"/>
      <c r="AQ32" s="1">
        <f>IF(TITLE_DATE_PR_CHANGE="",IF(TITLE_DATE_PR="","",TITLE_DATE_PR),TITLE_DATE_PR_CHANGE)</f>
        <v>45653.495844907404</v>
      </c>
      <c r="AR32" s="1"/>
      <c r="AS32" s="1"/>
      <c r="AT32" s="1"/>
      <c r="AU32" s="1"/>
      <c r="AV32" s="1"/>
      <c r="AX32" s="1">
        <f>IF(TITLE_DATE_PR_CHANGE="",IF(TITLE_DATE_PR="","",TITLE_DATE_PR),TITLE_DATE_PR_CHANGE)</f>
        <v>45653.495844907404</v>
      </c>
      <c r="AY32" s="1"/>
      <c r="AZ32" s="1"/>
      <c r="BA32" s="1"/>
      <c r="BB32" s="1"/>
      <c r="BC32" s="1"/>
      <c r="BE32" s="1">
        <f>IF(TITLE_DATE_PR_CHANGE="",IF(TITLE_DATE_PR="","",TITLE_DATE_PR),TITLE_DATE_PR_CHANGE)</f>
        <v>45653.495844907404</v>
      </c>
      <c r="BF32" s="1"/>
      <c r="BG32" s="1"/>
      <c r="BH32" s="1"/>
      <c r="BI32" s="1"/>
      <c r="BJ32" s="1"/>
      <c r="BL32" s="1">
        <f>IF(TITLE_DATE_PR_CHANGE="",IF(TITLE_DATE_PR="","",TITLE_DATE_PR),TITLE_DATE_PR_CHANGE)</f>
        <v>45653.495844907404</v>
      </c>
      <c r="BM32" s="1"/>
      <c r="BN32" s="1"/>
      <c r="BO32" s="1"/>
      <c r="BP32" s="1"/>
      <c r="BQ32" s="1"/>
      <c r="BS32" s="1">
        <f>IF(TITLE_DATE_PR_CHANGE="",IF(TITLE_DATE_PR="","",TITLE_DATE_PR),TITLE_DATE_PR_CHANGE)</f>
        <v>45653.495844907404</v>
      </c>
      <c r="BT32" s="1"/>
      <c r="BU32" s="1"/>
      <c r="BV32" s="1"/>
      <c r="BW32" s="1"/>
      <c r="BX32" s="1"/>
      <c r="BZ32" s="1">
        <f>IF(TITLE_DATE_PR_CHANGE="",IF(TITLE_DATE_PR="","",TITLE_DATE_PR),TITLE_DATE_PR_CHANGE)</f>
        <v>45653.495844907404</v>
      </c>
      <c r="CA32" s="1"/>
      <c r="CB32" s="1"/>
      <c r="CC32" s="1"/>
      <c r="CD32" s="1"/>
      <c r="CE32" s="1"/>
      <c r="CG32" s="1">
        <f>IF(TITLE_DATE_PR_CHANGE="",IF(TITLE_DATE_PR="","",TITLE_DATE_PR),TITLE_DATE_PR_CHANGE)</f>
        <v>45653.495844907404</v>
      </c>
      <c r="CH32" s="1"/>
      <c r="CI32" s="1"/>
      <c r="CJ32" s="1"/>
      <c r="CK32" s="1"/>
      <c r="CL32" s="1"/>
      <c r="CN32" s="1">
        <f>IF(TITLE_DATE_PR_CHANGE="",IF(TITLE_DATE_PR="","",TITLE_DATE_PR),TITLE_DATE_PR_CHANGE)</f>
        <v>45653.495844907404</v>
      </c>
      <c r="CO32" s="1"/>
      <c r="CP32" s="1"/>
      <c r="CQ32" s="1"/>
      <c r="CR32" s="1"/>
      <c r="CS32" s="1"/>
      <c r="DB32">
        <v>0</v>
      </c>
    </row>
    <row r="33" spans="1:106"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J33" s="1" t="str">
        <f>IF(TITLE_NUMBER_PR_CHANGE="",IF(TITLE_NUMBER_PR="","",TITLE_NUMBER_PR),TITLE_NUMBER_PR_CHANGE)</f>
        <v>63/2</v>
      </c>
      <c r="AK33" s="1"/>
      <c r="AL33" s="1"/>
      <c r="AM33" s="1"/>
      <c r="AN33" s="1"/>
      <c r="AO33" s="1"/>
      <c r="AQ33" s="1" t="str">
        <f>IF(TITLE_NUMBER_PR_CHANGE="",IF(TITLE_NUMBER_PR="","",TITLE_NUMBER_PR),TITLE_NUMBER_PR_CHANGE)</f>
        <v>63/2</v>
      </c>
      <c r="AR33" s="1"/>
      <c r="AS33" s="1"/>
      <c r="AT33" s="1"/>
      <c r="AU33" s="1"/>
      <c r="AV33" s="1"/>
      <c r="AX33" s="1" t="str">
        <f>IF(TITLE_NUMBER_PR_CHANGE="",IF(TITLE_NUMBER_PR="","",TITLE_NUMBER_PR),TITLE_NUMBER_PR_CHANGE)</f>
        <v>63/2</v>
      </c>
      <c r="AY33" s="1"/>
      <c r="AZ33" s="1"/>
      <c r="BA33" s="1"/>
      <c r="BB33" s="1"/>
      <c r="BC33" s="1"/>
      <c r="BE33" s="1" t="str">
        <f>IF(TITLE_NUMBER_PR_CHANGE="",IF(TITLE_NUMBER_PR="","",TITLE_NUMBER_PR),TITLE_NUMBER_PR_CHANGE)</f>
        <v>63/2</v>
      </c>
      <c r="BF33" s="1"/>
      <c r="BG33" s="1"/>
      <c r="BH33" s="1"/>
      <c r="BI33" s="1"/>
      <c r="BJ33" s="1"/>
      <c r="BL33" s="1" t="str">
        <f>IF(TITLE_NUMBER_PR_CHANGE="",IF(TITLE_NUMBER_PR="","",TITLE_NUMBER_PR),TITLE_NUMBER_PR_CHANGE)</f>
        <v>63/2</v>
      </c>
      <c r="BM33" s="1"/>
      <c r="BN33" s="1"/>
      <c r="BO33" s="1"/>
      <c r="BP33" s="1"/>
      <c r="BQ33" s="1"/>
      <c r="BS33" s="1" t="str">
        <f>IF(TITLE_NUMBER_PR_CHANGE="",IF(TITLE_NUMBER_PR="","",TITLE_NUMBER_PR),TITLE_NUMBER_PR_CHANGE)</f>
        <v>63/2</v>
      </c>
      <c r="BT33" s="1"/>
      <c r="BU33" s="1"/>
      <c r="BV33" s="1"/>
      <c r="BW33" s="1"/>
      <c r="BX33" s="1"/>
      <c r="BZ33" s="1" t="str">
        <f>IF(TITLE_NUMBER_PR_CHANGE="",IF(TITLE_NUMBER_PR="","",TITLE_NUMBER_PR),TITLE_NUMBER_PR_CHANGE)</f>
        <v>63/2</v>
      </c>
      <c r="CA33" s="1"/>
      <c r="CB33" s="1"/>
      <c r="CC33" s="1"/>
      <c r="CD33" s="1"/>
      <c r="CE33" s="1"/>
      <c r="CG33" s="1" t="str">
        <f>IF(TITLE_NUMBER_PR_CHANGE="",IF(TITLE_NUMBER_PR="","",TITLE_NUMBER_PR),TITLE_NUMBER_PR_CHANGE)</f>
        <v>63/2</v>
      </c>
      <c r="CH33" s="1"/>
      <c r="CI33" s="1"/>
      <c r="CJ33" s="1"/>
      <c r="CK33" s="1"/>
      <c r="CL33" s="1"/>
      <c r="CN33" s="1" t="str">
        <f>IF(TITLE_NUMBER_PR_CHANGE="",IF(TITLE_NUMBER_PR="","",TITLE_NUMBER_PR),TITLE_NUMBER_PR_CHANGE)</f>
        <v>63/2</v>
      </c>
      <c r="CO33" s="1"/>
      <c r="CP33" s="1"/>
      <c r="CQ33" s="1"/>
      <c r="CR33" s="1"/>
      <c r="CS33" s="1"/>
      <c r="DB33">
        <v>0</v>
      </c>
    </row>
    <row r="34" spans="1:106" ht="1.1499999999999999" customHeight="1" x14ac:dyDescent="0.15">
      <c r="AB34" t="s">
        <v>543</v>
      </c>
      <c r="AI34" t="s">
        <v>543</v>
      </c>
      <c r="AP34" t="s">
        <v>543</v>
      </c>
      <c r="AW34" t="s">
        <v>543</v>
      </c>
      <c r="BD34" t="s">
        <v>543</v>
      </c>
      <c r="BK34" t="s">
        <v>543</v>
      </c>
      <c r="BR34" t="s">
        <v>543</v>
      </c>
      <c r="BY34" t="s">
        <v>543</v>
      </c>
      <c r="CF34" t="s">
        <v>543</v>
      </c>
      <c r="CM34" t="s">
        <v>543</v>
      </c>
      <c r="CT34" t="s">
        <v>543</v>
      </c>
      <c r="DB34">
        <v>1</v>
      </c>
    </row>
    <row r="35" spans="1:106" ht="14.65" customHeight="1" x14ac:dyDescent="0.15">
      <c r="V35" s="1"/>
      <c r="W35" s="1"/>
      <c r="X35" s="1"/>
      <c r="Y35" s="1"/>
      <c r="Z35" s="1"/>
      <c r="AA35" s="1"/>
      <c r="AB35" s="1"/>
      <c r="AC35" s="1"/>
      <c r="AD35" s="1"/>
      <c r="AE35" s="1"/>
      <c r="AF35" s="1"/>
      <c r="AG35" s="1"/>
      <c r="AH35" s="1"/>
      <c r="AI35" s="1"/>
      <c r="AJ35" s="1" t="s">
        <v>106</v>
      </c>
      <c r="AK35" s="1"/>
      <c r="AL35" s="1"/>
      <c r="AM35" s="1"/>
      <c r="AN35" s="1"/>
      <c r="AO35" s="1"/>
      <c r="AP35" s="1"/>
      <c r="AQ35" s="1" t="s">
        <v>106</v>
      </c>
      <c r="AR35" s="1"/>
      <c r="AS35" s="1"/>
      <c r="AT35" s="1"/>
      <c r="AU35" s="1"/>
      <c r="AV35" s="1"/>
      <c r="AW35" s="1"/>
      <c r="AX35" s="1" t="s">
        <v>106</v>
      </c>
      <c r="AY35" s="1"/>
      <c r="AZ35" s="1"/>
      <c r="BA35" s="1"/>
      <c r="BB35" s="1"/>
      <c r="BC35" s="1"/>
      <c r="BD35" s="1"/>
      <c r="BE35" s="1" t="s">
        <v>106</v>
      </c>
      <c r="BF35" s="1"/>
      <c r="BG35" s="1"/>
      <c r="BH35" s="1"/>
      <c r="BI35" s="1"/>
      <c r="BJ35" s="1"/>
      <c r="BK35" s="1"/>
      <c r="BL35" s="1" t="s">
        <v>106</v>
      </c>
      <c r="BM35" s="1"/>
      <c r="BN35" s="1"/>
      <c r="BO35" s="1"/>
      <c r="BP35" s="1"/>
      <c r="BQ35" s="1"/>
      <c r="BR35" s="1"/>
      <c r="BS35" s="1" t="s">
        <v>106</v>
      </c>
      <c r="BT35" s="1"/>
      <c r="BU35" s="1"/>
      <c r="BV35" s="1"/>
      <c r="BW35" s="1"/>
      <c r="BX35" s="1"/>
      <c r="BY35" s="1"/>
      <c r="BZ35" s="1" t="s">
        <v>106</v>
      </c>
      <c r="CA35" s="1"/>
      <c r="CB35" s="1"/>
      <c r="CC35" s="1"/>
      <c r="CD35" s="1"/>
      <c r="CE35" s="1"/>
      <c r="CF35" s="1"/>
      <c r="CG35" s="1" t="s">
        <v>106</v>
      </c>
      <c r="CH35" s="1"/>
      <c r="CI35" s="1"/>
      <c r="CJ35" s="1"/>
      <c r="CK35" s="1"/>
      <c r="CL35" s="1"/>
      <c r="CM35" s="1"/>
      <c r="CN35" s="1" t="s">
        <v>106</v>
      </c>
      <c r="CO35" s="1"/>
      <c r="CP35" s="1"/>
      <c r="CQ35" s="1"/>
      <c r="CR35" s="1"/>
      <c r="CS35" s="1"/>
      <c r="CT35" s="1"/>
      <c r="DB35">
        <v>14</v>
      </c>
    </row>
    <row r="36" spans="1:106" ht="0" hidden="1" customHeight="1" x14ac:dyDescent="0.15">
      <c r="S36" s="1" t="s">
        <v>418</v>
      </c>
      <c r="T36" s="1"/>
      <c r="U36" s="1"/>
      <c r="V36" s="1"/>
      <c r="W36" s="1"/>
      <c r="X36" s="1"/>
      <c r="Y36" s="1"/>
      <c r="Z36" s="1"/>
      <c r="AA36" s="1"/>
      <c r="AB36" s="1"/>
      <c r="AC36" s="1"/>
      <c r="AD36" s="1"/>
      <c r="AE36" s="1"/>
      <c r="AF36" s="1"/>
      <c r="AG36" s="1"/>
      <c r="AH36" s="1"/>
      <c r="AI36" s="1"/>
      <c r="AJ36" s="1" t="s">
        <v>418</v>
      </c>
      <c r="AK36" s="1"/>
      <c r="AL36" s="1"/>
      <c r="AM36" s="1"/>
      <c r="AN36" s="1"/>
      <c r="AO36" s="1"/>
      <c r="AP36" s="1"/>
      <c r="AQ36" s="1" t="s">
        <v>418</v>
      </c>
      <c r="AR36" s="1"/>
      <c r="AS36" s="1"/>
      <c r="AT36" s="1"/>
      <c r="AU36" s="1"/>
      <c r="AV36" s="1"/>
      <c r="AW36" s="1"/>
      <c r="AX36" s="1" t="s">
        <v>418</v>
      </c>
      <c r="AY36" s="1"/>
      <c r="AZ36" s="1"/>
      <c r="BA36" s="1"/>
      <c r="BB36" s="1"/>
      <c r="BC36" s="1"/>
      <c r="BD36" s="1"/>
      <c r="BE36" s="1" t="s">
        <v>418</v>
      </c>
      <c r="BF36" s="1"/>
      <c r="BG36" s="1"/>
      <c r="BH36" s="1"/>
      <c r="BI36" s="1"/>
      <c r="BJ36" s="1"/>
      <c r="BK36" s="1"/>
      <c r="BL36" s="1" t="s">
        <v>418</v>
      </c>
      <c r="BM36" s="1"/>
      <c r="BN36" s="1"/>
      <c r="BO36" s="1"/>
      <c r="BP36" s="1"/>
      <c r="BQ36" s="1"/>
      <c r="BR36" s="1"/>
      <c r="BS36" s="1" t="s">
        <v>418</v>
      </c>
      <c r="BT36" s="1"/>
      <c r="BU36" s="1"/>
      <c r="BV36" s="1"/>
      <c r="BW36" s="1"/>
      <c r="BX36" s="1"/>
      <c r="BY36" s="1"/>
      <c r="BZ36" s="1" t="s">
        <v>418</v>
      </c>
      <c r="CA36" s="1"/>
      <c r="CB36" s="1"/>
      <c r="CC36" s="1"/>
      <c r="CD36" s="1"/>
      <c r="CE36" s="1"/>
      <c r="CF36" s="1"/>
      <c r="CG36" s="1" t="s">
        <v>418</v>
      </c>
      <c r="CH36" s="1"/>
      <c r="CI36" s="1"/>
      <c r="CJ36" s="1"/>
      <c r="CK36" s="1"/>
      <c r="CL36" s="1"/>
      <c r="CM36" s="1"/>
      <c r="CN36" s="1" t="s">
        <v>418</v>
      </c>
      <c r="CO36" s="1"/>
      <c r="CP36" s="1"/>
      <c r="CQ36" s="1"/>
      <c r="CR36" s="1"/>
      <c r="CS36" s="1"/>
      <c r="CT36" s="1"/>
      <c r="CU36" s="1"/>
      <c r="CV36" s="1"/>
    </row>
    <row r="37" spans="1:106"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545</v>
      </c>
      <c r="AK37" s="1"/>
      <c r="AL37" s="1"/>
      <c r="AM37" s="1"/>
      <c r="AN37" s="1"/>
      <c r="AO37" s="1"/>
      <c r="AP37" s="1" t="s">
        <v>546</v>
      </c>
      <c r="AQ37" s="1" t="s">
        <v>545</v>
      </c>
      <c r="AR37" s="1"/>
      <c r="AS37" s="1"/>
      <c r="AT37" s="1"/>
      <c r="AU37" s="1"/>
      <c r="AV37" s="1"/>
      <c r="AW37" s="1" t="s">
        <v>546</v>
      </c>
      <c r="AX37" s="1" t="s">
        <v>545</v>
      </c>
      <c r="AY37" s="1"/>
      <c r="AZ37" s="1"/>
      <c r="BA37" s="1"/>
      <c r="BB37" s="1"/>
      <c r="BC37" s="1"/>
      <c r="BD37" s="1" t="s">
        <v>546</v>
      </c>
      <c r="BE37" s="1" t="s">
        <v>545</v>
      </c>
      <c r="BF37" s="1"/>
      <c r="BG37" s="1"/>
      <c r="BH37" s="1"/>
      <c r="BI37" s="1"/>
      <c r="BJ37" s="1"/>
      <c r="BK37" s="1" t="s">
        <v>546</v>
      </c>
      <c r="BL37" s="1" t="s">
        <v>545</v>
      </c>
      <c r="BM37" s="1"/>
      <c r="BN37" s="1"/>
      <c r="BO37" s="1"/>
      <c r="BP37" s="1"/>
      <c r="BQ37" s="1"/>
      <c r="BR37" s="1" t="s">
        <v>546</v>
      </c>
      <c r="BS37" s="1" t="s">
        <v>545</v>
      </c>
      <c r="BT37" s="1"/>
      <c r="BU37" s="1"/>
      <c r="BV37" s="1"/>
      <c r="BW37" s="1"/>
      <c r="BX37" s="1"/>
      <c r="BY37" s="1" t="s">
        <v>546</v>
      </c>
      <c r="BZ37" s="1" t="s">
        <v>545</v>
      </c>
      <c r="CA37" s="1"/>
      <c r="CB37" s="1"/>
      <c r="CC37" s="1"/>
      <c r="CD37" s="1"/>
      <c r="CE37" s="1"/>
      <c r="CF37" s="1" t="s">
        <v>546</v>
      </c>
      <c r="CG37" s="1" t="s">
        <v>545</v>
      </c>
      <c r="CH37" s="1"/>
      <c r="CI37" s="1"/>
      <c r="CJ37" s="1"/>
      <c r="CK37" s="1"/>
      <c r="CL37" s="1"/>
      <c r="CM37" s="1" t="s">
        <v>546</v>
      </c>
      <c r="CN37" s="1" t="s">
        <v>545</v>
      </c>
      <c r="CO37" s="1"/>
      <c r="CP37" s="1"/>
      <c r="CQ37" s="1"/>
      <c r="CR37" s="1"/>
      <c r="CS37" s="1"/>
      <c r="CT37" s="1" t="s">
        <v>546</v>
      </c>
      <c r="CU37" s="1" t="s">
        <v>548</v>
      </c>
      <c r="CV37" s="1"/>
      <c r="DB37">
        <v>14</v>
      </c>
    </row>
    <row r="38" spans="1:106" ht="35.65" customHeight="1" x14ac:dyDescent="0.15">
      <c r="S38" s="1"/>
      <c r="T38" s="1"/>
      <c r="V38" t="s">
        <v>604</v>
      </c>
      <c r="W38" s="1" t="s">
        <v>551</v>
      </c>
      <c r="X38" s="1"/>
      <c r="Y38" s="1" t="s">
        <v>552</v>
      </c>
      <c r="Z38" s="1"/>
      <c r="AA38" s="1"/>
      <c r="AB38" s="1"/>
      <c r="AC38" t="s">
        <v>604</v>
      </c>
      <c r="AD38" s="1" t="s">
        <v>551</v>
      </c>
      <c r="AE38" s="1"/>
      <c r="AF38" s="1" t="s">
        <v>552</v>
      </c>
      <c r="AG38" s="1"/>
      <c r="AH38" s="1"/>
      <c r="AI38" s="1"/>
      <c r="AJ38" t="s">
        <v>604</v>
      </c>
      <c r="AK38" s="1" t="s">
        <v>551</v>
      </c>
      <c r="AL38" s="1"/>
      <c r="AM38" s="1" t="s">
        <v>552</v>
      </c>
      <c r="AN38" s="1"/>
      <c r="AO38" s="1"/>
      <c r="AP38" s="1"/>
      <c r="AQ38" t="s">
        <v>604</v>
      </c>
      <c r="AR38" s="1" t="s">
        <v>551</v>
      </c>
      <c r="AS38" s="1"/>
      <c r="AT38" s="1" t="s">
        <v>552</v>
      </c>
      <c r="AU38" s="1"/>
      <c r="AV38" s="1"/>
      <c r="AW38" s="1"/>
      <c r="AX38" t="s">
        <v>604</v>
      </c>
      <c r="AY38" s="1" t="s">
        <v>551</v>
      </c>
      <c r="AZ38" s="1"/>
      <c r="BA38" s="1" t="s">
        <v>552</v>
      </c>
      <c r="BB38" s="1"/>
      <c r="BC38" s="1"/>
      <c r="BD38" s="1"/>
      <c r="BE38" t="s">
        <v>604</v>
      </c>
      <c r="BF38" s="1" t="s">
        <v>551</v>
      </c>
      <c r="BG38" s="1"/>
      <c r="BH38" s="1" t="s">
        <v>552</v>
      </c>
      <c r="BI38" s="1"/>
      <c r="BJ38" s="1"/>
      <c r="BK38" s="1"/>
      <c r="BL38" t="s">
        <v>604</v>
      </c>
      <c r="BM38" s="1" t="s">
        <v>551</v>
      </c>
      <c r="BN38" s="1"/>
      <c r="BO38" s="1" t="s">
        <v>552</v>
      </c>
      <c r="BP38" s="1"/>
      <c r="BQ38" s="1"/>
      <c r="BR38" s="1"/>
      <c r="BS38" t="s">
        <v>604</v>
      </c>
      <c r="BT38" s="1" t="s">
        <v>551</v>
      </c>
      <c r="BU38" s="1"/>
      <c r="BV38" s="1" t="s">
        <v>552</v>
      </c>
      <c r="BW38" s="1"/>
      <c r="BX38" s="1"/>
      <c r="BY38" s="1"/>
      <c r="BZ38" t="s">
        <v>604</v>
      </c>
      <c r="CA38" s="1" t="s">
        <v>551</v>
      </c>
      <c r="CB38" s="1"/>
      <c r="CC38" s="1" t="s">
        <v>552</v>
      </c>
      <c r="CD38" s="1"/>
      <c r="CE38" s="1"/>
      <c r="CF38" s="1"/>
      <c r="CG38" t="s">
        <v>604</v>
      </c>
      <c r="CH38" s="1" t="s">
        <v>551</v>
      </c>
      <c r="CI38" s="1"/>
      <c r="CJ38" s="1" t="s">
        <v>552</v>
      </c>
      <c r="CK38" s="1"/>
      <c r="CL38" s="1"/>
      <c r="CM38" s="1"/>
      <c r="CN38" t="s">
        <v>604</v>
      </c>
      <c r="CO38" s="1" t="s">
        <v>551</v>
      </c>
      <c r="CP38" s="1"/>
      <c r="CQ38" s="1" t="s">
        <v>552</v>
      </c>
      <c r="CR38" s="1"/>
      <c r="CS38" s="1"/>
      <c r="CT38" s="1"/>
      <c r="CU38" s="1"/>
      <c r="CV38" s="1"/>
      <c r="DB38">
        <v>34</v>
      </c>
    </row>
    <row r="39" spans="1:106" ht="90.4" customHeight="1" x14ac:dyDescent="0.15">
      <c r="B39" t="s">
        <v>191</v>
      </c>
      <c r="C39" t="s">
        <v>192</v>
      </c>
      <c r="D39" t="s">
        <v>193</v>
      </c>
      <c r="E39" t="s">
        <v>553</v>
      </c>
      <c r="F39" t="s">
        <v>554</v>
      </c>
      <c r="G39" t="s">
        <v>555</v>
      </c>
      <c r="I39" t="s">
        <v>605</v>
      </c>
      <c r="J39" t="s">
        <v>558</v>
      </c>
      <c r="K39" t="s">
        <v>606</v>
      </c>
      <c r="L39" t="s">
        <v>534</v>
      </c>
      <c r="S39" s="1"/>
      <c r="T39" s="1"/>
      <c r="V39" t="s">
        <v>633</v>
      </c>
      <c r="W39" t="s">
        <v>634</v>
      </c>
      <c r="X39" t="s">
        <v>609</v>
      </c>
      <c r="Y39" t="s">
        <v>562</v>
      </c>
      <c r="Z39" s="1" t="s">
        <v>563</v>
      </c>
      <c r="AA39" s="1"/>
      <c r="AB39" s="1"/>
      <c r="AC39" t="s">
        <v>633</v>
      </c>
      <c r="AD39" t="s">
        <v>634</v>
      </c>
      <c r="AE39" t="s">
        <v>609</v>
      </c>
      <c r="AF39" t="s">
        <v>562</v>
      </c>
      <c r="AG39" s="1" t="s">
        <v>563</v>
      </c>
      <c r="AH39" s="1"/>
      <c r="AI39" s="1"/>
      <c r="AJ39" t="s">
        <v>633</v>
      </c>
      <c r="AK39" t="s">
        <v>634</v>
      </c>
      <c r="AL39" t="s">
        <v>609</v>
      </c>
      <c r="AM39" t="s">
        <v>562</v>
      </c>
      <c r="AN39" s="1" t="s">
        <v>563</v>
      </c>
      <c r="AO39" s="1"/>
      <c r="AP39" s="1"/>
      <c r="AQ39" t="s">
        <v>633</v>
      </c>
      <c r="AR39" t="s">
        <v>634</v>
      </c>
      <c r="AS39" t="s">
        <v>609</v>
      </c>
      <c r="AT39" t="s">
        <v>562</v>
      </c>
      <c r="AU39" s="1" t="s">
        <v>563</v>
      </c>
      <c r="AV39" s="1"/>
      <c r="AW39" s="1"/>
      <c r="AX39" t="s">
        <v>633</v>
      </c>
      <c r="AY39" t="s">
        <v>634</v>
      </c>
      <c r="AZ39" t="s">
        <v>609</v>
      </c>
      <c r="BA39" t="s">
        <v>562</v>
      </c>
      <c r="BB39" s="1" t="s">
        <v>563</v>
      </c>
      <c r="BC39" s="1"/>
      <c r="BD39" s="1"/>
      <c r="BE39" t="s">
        <v>633</v>
      </c>
      <c r="BF39" t="s">
        <v>634</v>
      </c>
      <c r="BG39" t="s">
        <v>609</v>
      </c>
      <c r="BH39" t="s">
        <v>562</v>
      </c>
      <c r="BI39" s="1" t="s">
        <v>563</v>
      </c>
      <c r="BJ39" s="1"/>
      <c r="BK39" s="1"/>
      <c r="BL39" t="s">
        <v>633</v>
      </c>
      <c r="BM39" t="s">
        <v>634</v>
      </c>
      <c r="BN39" t="s">
        <v>609</v>
      </c>
      <c r="BO39" t="s">
        <v>562</v>
      </c>
      <c r="BP39" s="1" t="s">
        <v>563</v>
      </c>
      <c r="BQ39" s="1"/>
      <c r="BR39" s="1"/>
      <c r="BS39" t="s">
        <v>633</v>
      </c>
      <c r="BT39" t="s">
        <v>634</v>
      </c>
      <c r="BU39" t="s">
        <v>609</v>
      </c>
      <c r="BV39" t="s">
        <v>562</v>
      </c>
      <c r="BW39" s="1" t="s">
        <v>563</v>
      </c>
      <c r="BX39" s="1"/>
      <c r="BY39" s="1"/>
      <c r="BZ39" t="s">
        <v>633</v>
      </c>
      <c r="CA39" t="s">
        <v>634</v>
      </c>
      <c r="CB39" t="s">
        <v>609</v>
      </c>
      <c r="CC39" t="s">
        <v>562</v>
      </c>
      <c r="CD39" s="1" t="s">
        <v>563</v>
      </c>
      <c r="CE39" s="1"/>
      <c r="CF39" s="1"/>
      <c r="CG39" t="s">
        <v>633</v>
      </c>
      <c r="CH39" t="s">
        <v>634</v>
      </c>
      <c r="CI39" t="s">
        <v>609</v>
      </c>
      <c r="CJ39" t="s">
        <v>562</v>
      </c>
      <c r="CK39" s="1" t="s">
        <v>563</v>
      </c>
      <c r="CL39" s="1"/>
      <c r="CM39" s="1"/>
      <c r="CN39" t="s">
        <v>633</v>
      </c>
      <c r="CO39" t="s">
        <v>634</v>
      </c>
      <c r="CP39" t="s">
        <v>609</v>
      </c>
      <c r="CQ39" t="s">
        <v>562</v>
      </c>
      <c r="CR39" s="1" t="s">
        <v>563</v>
      </c>
      <c r="CS39" s="1"/>
      <c r="CT39" s="1"/>
      <c r="CU39" s="1"/>
      <c r="CV39" s="1"/>
      <c r="DB39">
        <v>86</v>
      </c>
    </row>
    <row r="40" spans="1:106" ht="11.25"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OFFSET(AJ40,0,-1)+1</f>
        <v>15</v>
      </c>
      <c r="AK40">
        <f ca="1">OFFSET(AK40,0,-1)+1</f>
        <v>16</v>
      </c>
      <c r="AL40">
        <f ca="1">OFFSET(AL40,0,-1)+1</f>
        <v>17</v>
      </c>
      <c r="AM40">
        <f ca="1">OFFSET(AM40,0,-1)+1</f>
        <v>18</v>
      </c>
      <c r="AN40" s="1">
        <f ca="1">OFFSET(AN40,0,-1)+1</f>
        <v>19</v>
      </c>
      <c r="AO40" s="1"/>
      <c r="AP40">
        <f ca="1">OFFSET(AP40,0,-2)+1</f>
        <v>20</v>
      </c>
      <c r="AQ40">
        <f ca="1">OFFSET(AQ40,0,-1)+1</f>
        <v>21</v>
      </c>
      <c r="AR40">
        <f ca="1">OFFSET(AR40,0,-1)+1</f>
        <v>22</v>
      </c>
      <c r="AS40">
        <f ca="1">OFFSET(AS40,0,-1)+1</f>
        <v>23</v>
      </c>
      <c r="AT40">
        <f ca="1">OFFSET(AT40,0,-1)+1</f>
        <v>24</v>
      </c>
      <c r="AU40" s="1">
        <f ca="1">OFFSET(AU40,0,-1)+1</f>
        <v>25</v>
      </c>
      <c r="AV40" s="1"/>
      <c r="AW40">
        <f ca="1">OFFSET(AW40,0,-2)+1</f>
        <v>26</v>
      </c>
      <c r="AX40">
        <f ca="1">OFFSET(AX40,0,-1)+1</f>
        <v>27</v>
      </c>
      <c r="AY40">
        <f ca="1">OFFSET(AY40,0,-1)+1</f>
        <v>28</v>
      </c>
      <c r="AZ40">
        <f ca="1">OFFSET(AZ40,0,-1)+1</f>
        <v>29</v>
      </c>
      <c r="BA40">
        <f ca="1">OFFSET(BA40,0,-1)+1</f>
        <v>30</v>
      </c>
      <c r="BB40" s="1">
        <f ca="1">OFFSET(BB40,0,-1)+1</f>
        <v>31</v>
      </c>
      <c r="BC40" s="1"/>
      <c r="BD40">
        <f ca="1">OFFSET(BD40,0,-2)+1</f>
        <v>32</v>
      </c>
      <c r="BE40">
        <f ca="1">OFFSET(BE40,0,-1)+1</f>
        <v>33</v>
      </c>
      <c r="BF40">
        <f ca="1">OFFSET(BF40,0,-1)+1</f>
        <v>34</v>
      </c>
      <c r="BG40">
        <f ca="1">OFFSET(BG40,0,-1)+1</f>
        <v>35</v>
      </c>
      <c r="BH40">
        <f ca="1">OFFSET(BH40,0,-1)+1</f>
        <v>36</v>
      </c>
      <c r="BI40" s="1">
        <f ca="1">OFFSET(BI40,0,-1)+1</f>
        <v>37</v>
      </c>
      <c r="BJ40" s="1"/>
      <c r="BK40">
        <f ca="1">OFFSET(BK40,0,-2)+1</f>
        <v>38</v>
      </c>
      <c r="BL40">
        <f ca="1">OFFSET(BL40,0,-1)+1</f>
        <v>39</v>
      </c>
      <c r="BM40">
        <f ca="1">OFFSET(BM40,0,-1)+1</f>
        <v>40</v>
      </c>
      <c r="BN40">
        <f ca="1">OFFSET(BN40,0,-1)+1</f>
        <v>41</v>
      </c>
      <c r="BO40">
        <f ca="1">OFFSET(BO40,0,-1)+1</f>
        <v>42</v>
      </c>
      <c r="BP40" s="1">
        <f ca="1">OFFSET(BP40,0,-1)+1</f>
        <v>43</v>
      </c>
      <c r="BQ40" s="1"/>
      <c r="BR40">
        <f ca="1">OFFSET(BR40,0,-2)+1</f>
        <v>44</v>
      </c>
      <c r="BS40">
        <f ca="1">OFFSET(BS40,0,-1)+1</f>
        <v>45</v>
      </c>
      <c r="BT40">
        <f ca="1">OFFSET(BT40,0,-1)+1</f>
        <v>46</v>
      </c>
      <c r="BU40">
        <f ca="1">OFFSET(BU40,0,-1)+1</f>
        <v>47</v>
      </c>
      <c r="BV40">
        <f ca="1">OFFSET(BV40,0,-1)+1</f>
        <v>48</v>
      </c>
      <c r="BW40" s="1">
        <f ca="1">OFFSET(BW40,0,-1)+1</f>
        <v>49</v>
      </c>
      <c r="BX40" s="1"/>
      <c r="BY40">
        <f ca="1">OFFSET(BY40,0,-2)+1</f>
        <v>50</v>
      </c>
      <c r="BZ40">
        <f ca="1">OFFSET(BZ40,0,-1)+1</f>
        <v>51</v>
      </c>
      <c r="CA40">
        <f ca="1">OFFSET(CA40,0,-1)+1</f>
        <v>52</v>
      </c>
      <c r="CB40">
        <f ca="1">OFFSET(CB40,0,-1)+1</f>
        <v>53</v>
      </c>
      <c r="CC40">
        <f ca="1">OFFSET(CC40,0,-1)+1</f>
        <v>54</v>
      </c>
      <c r="CD40" s="1">
        <f ca="1">OFFSET(CD40,0,-1)+1</f>
        <v>55</v>
      </c>
      <c r="CE40" s="1"/>
      <c r="CF40">
        <f ca="1">OFFSET(CF40,0,-2)+1</f>
        <v>56</v>
      </c>
      <c r="CG40">
        <f ca="1">OFFSET(CG40,0,-1)+1</f>
        <v>57</v>
      </c>
      <c r="CH40">
        <f ca="1">OFFSET(CH40,0,-1)+1</f>
        <v>58</v>
      </c>
      <c r="CI40">
        <f ca="1">OFFSET(CI40,0,-1)+1</f>
        <v>59</v>
      </c>
      <c r="CJ40">
        <f ca="1">OFFSET(CJ40,0,-1)+1</f>
        <v>60</v>
      </c>
      <c r="CK40" s="1">
        <f ca="1">OFFSET(CK40,0,-1)+1</f>
        <v>61</v>
      </c>
      <c r="CL40" s="1"/>
      <c r="CM40">
        <f ca="1">OFFSET(CM40,0,-2)+1</f>
        <v>62</v>
      </c>
      <c r="CN40">
        <f ca="1">OFFSET(CN40,0,-1)+1</f>
        <v>63</v>
      </c>
      <c r="CO40">
        <f ca="1">OFFSET(CO40,0,-1)+1</f>
        <v>64</v>
      </c>
      <c r="CP40">
        <f ca="1">OFFSET(CP40,0,-1)+1</f>
        <v>65</v>
      </c>
      <c r="CQ40">
        <f ca="1">OFFSET(CQ40,0,-1)+1</f>
        <v>66</v>
      </c>
      <c r="CR40" s="1">
        <f ca="1">OFFSET(CR40,0,-1)+1</f>
        <v>67</v>
      </c>
      <c r="CS40" s="1"/>
      <c r="CT40">
        <f ca="1">OFFSET(CT40,0,-2)+1</f>
        <v>68</v>
      </c>
      <c r="CU40">
        <f ca="1">OFFSET(CU40,0,-1)</f>
        <v>68</v>
      </c>
      <c r="CV40">
        <f ca="1">OFFSET(CV40,0,-1)+1</f>
        <v>69</v>
      </c>
      <c r="DB40">
        <v>0</v>
      </c>
    </row>
    <row r="41" spans="1:106" ht="24" customHeight="1" x14ac:dyDescent="0.15">
      <c r="A41" t="s">
        <v>318</v>
      </c>
      <c r="E41" s="1">
        <v>1</v>
      </c>
      <c r="S41">
        <f>INDEX(PT_DIFFERENTIATION_NUM_NTAR,MATCH(A41,PT_DIFFERENTIATION_NTAR_ID,0))</f>
        <v>1</v>
      </c>
      <c r="T41" t="s">
        <v>179</v>
      </c>
      <c r="V41" s="1"/>
      <c r="W41" s="1"/>
      <c r="X41" s="1"/>
      <c r="Y41" s="1"/>
      <c r="Z41" s="1"/>
      <c r="AA41" s="1"/>
      <c r="AB41" s="1"/>
      <c r="AC41" s="1" t="str">
        <f>INDEX(PT_DIFFERENTIATION_NTAR,MATCH(A41,PT_DIFFERENTIATION_NTAR_ID,0))</f>
        <v>Тариф на водоотведение для потребителей КГУП "Примтеплоэнерго"</v>
      </c>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Y41" t="str">
        <f t="shared" ref="CY41:CY104" si="1">IF(T41="","",T41)</f>
        <v>Наименование тарифа</v>
      </c>
      <c r="DB41">
        <v>23</v>
      </c>
    </row>
    <row r="42" spans="1:106" ht="24" customHeight="1" x14ac:dyDescent="0.15">
      <c r="A42" t="s">
        <v>318</v>
      </c>
      <c r="B42" t="s">
        <v>319</v>
      </c>
      <c r="E42" s="1"/>
      <c r="F42" s="1">
        <v>1</v>
      </c>
      <c r="S42" t="str">
        <f>INDEX(PT_DIFFERENTIATION_NUM_TER,MATCH(B42,PT_DIFFERENTIATION_TER_ID,0))</f>
        <v>1.1</v>
      </c>
      <c r="T42" t="s">
        <v>515</v>
      </c>
      <c r="V42" s="1"/>
      <c r="W42" s="1"/>
      <c r="X42" s="1"/>
      <c r="Y42" s="1"/>
      <c r="Z42" s="1"/>
      <c r="AA42" s="1"/>
      <c r="AB42" s="1"/>
      <c r="AC42" s="1" t="str">
        <f>INDEX(PT_DIFFERENTIATION_TER,MATCH(B42,PT_DIFFERENTIATION_TER_ID,0))</f>
        <v>Территория 1</v>
      </c>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t="s">
        <v>516</v>
      </c>
      <c r="CY42" t="str">
        <f t="shared" si="1"/>
        <v>Территория действия тарифа</v>
      </c>
      <c r="DB42">
        <v>23</v>
      </c>
    </row>
    <row r="43" spans="1:106" ht="24" customHeight="1" x14ac:dyDescent="0.15">
      <c r="A43" t="s">
        <v>318</v>
      </c>
      <c r="B43" t="s">
        <v>319</v>
      </c>
      <c r="C43" t="s">
        <v>320</v>
      </c>
      <c r="E43" s="1"/>
      <c r="F43" s="1"/>
      <c r="G43" s="1">
        <v>1</v>
      </c>
      <c r="S43" t="str">
        <f>INDEX(PT_DIFFERENTIATION_NUM_CS,MATCH(C43,PT_DIFFERENTIATION_CS_ID,0))</f>
        <v>1.1.1</v>
      </c>
      <c r="T43" t="s">
        <v>631</v>
      </c>
      <c r="V43" s="1"/>
      <c r="W43" s="1"/>
      <c r="X43" s="1"/>
      <c r="Y43" s="1"/>
      <c r="Z43" s="1"/>
      <c r="AA43" s="1"/>
      <c r="AB43" s="1"/>
      <c r="AC43" s="1" t="str">
        <f>INDEX(PT_DIFFERENTIATION_CS,MATCH(C43,PT_DIFFERENTIATION_CS_ID,0))</f>
        <v>с. Анучино</v>
      </c>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t="s">
        <v>632</v>
      </c>
      <c r="CY43" t="str">
        <f t="shared" si="1"/>
        <v>Наименование централизованной системы водоотведения</v>
      </c>
      <c r="DB43">
        <v>23</v>
      </c>
    </row>
    <row r="44" spans="1:106" ht="24" customHeight="1" x14ac:dyDescent="0.15">
      <c r="A44" t="s">
        <v>318</v>
      </c>
      <c r="B44" t="s">
        <v>319</v>
      </c>
      <c r="C44" t="s">
        <v>320</v>
      </c>
      <c r="D44" t="s">
        <v>635</v>
      </c>
      <c r="E44" s="1"/>
      <c r="F44" s="1"/>
      <c r="G44" s="1"/>
      <c r="H44" s="1"/>
      <c r="I44" s="1" t="str">
        <f>S43&amp;".1"</f>
        <v>1.1.1.1</v>
      </c>
      <c r="P44" s="1">
        <v>1</v>
      </c>
      <c r="S44" t="str">
        <f>$I44</f>
        <v>1.1.1.1</v>
      </c>
      <c r="T44" t="s">
        <v>598</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t="s">
        <v>599</v>
      </c>
      <c r="CY44" t="str">
        <f t="shared" si="1"/>
        <v>Наименование признака дифференциации</v>
      </c>
      <c r="DB44">
        <v>23</v>
      </c>
    </row>
    <row r="45" spans="1:106" ht="24" customHeight="1" x14ac:dyDescent="0.15">
      <c r="A45" t="s">
        <v>318</v>
      </c>
      <c r="B45" t="s">
        <v>319</v>
      </c>
      <c r="C45" t="s">
        <v>320</v>
      </c>
      <c r="D45" t="s">
        <v>635</v>
      </c>
      <c r="E45" s="1"/>
      <c r="F45" s="1"/>
      <c r="G45" s="1"/>
      <c r="H45" s="1"/>
      <c r="I45" s="1"/>
      <c r="J45" s="1" t="str">
        <f>I44&amp;".1"</f>
        <v>1.1.1.1.1</v>
      </c>
      <c r="L45" t="s">
        <v>524</v>
      </c>
      <c r="P45" s="1"/>
      <c r="Q45" s="1">
        <v>1</v>
      </c>
      <c r="S45" t="str">
        <f>$J45</f>
        <v>1.1.1.1.1</v>
      </c>
      <c r="T45" t="s">
        <v>525</v>
      </c>
      <c r="V45" s="1"/>
      <c r="W45" s="1"/>
      <c r="X45" s="1"/>
      <c r="Y45" s="1"/>
      <c r="Z45" s="1"/>
      <c r="AA45" s="1"/>
      <c r="AB45" s="1"/>
      <c r="AC45" s="1" t="s">
        <v>636</v>
      </c>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t="s">
        <v>600</v>
      </c>
      <c r="CY45" t="str">
        <f t="shared" si="1"/>
        <v>Группа потребителей</v>
      </c>
      <c r="DB45">
        <v>23</v>
      </c>
    </row>
    <row r="46" spans="1:106" ht="24" customHeight="1" x14ac:dyDescent="0.15">
      <c r="A46" t="s">
        <v>318</v>
      </c>
      <c r="B46" t="s">
        <v>319</v>
      </c>
      <c r="C46" t="s">
        <v>320</v>
      </c>
      <c r="D46" t="s">
        <v>635</v>
      </c>
      <c r="E46" s="1"/>
      <c r="F46" s="1"/>
      <c r="G46" s="1"/>
      <c r="H46" s="1"/>
      <c r="I46" s="1"/>
      <c r="J46" s="1"/>
      <c r="K46" s="1" t="str">
        <f>J45&amp;".1"</f>
        <v>1.1.1.1.1.1</v>
      </c>
      <c r="P46" s="1"/>
      <c r="Q46" s="1"/>
      <c r="R46">
        <v>1</v>
      </c>
      <c r="S46" t="str">
        <f>$K46</f>
        <v>1.1.1.1.1.1</v>
      </c>
      <c r="T46" t="s">
        <v>593</v>
      </c>
      <c r="Y46" s="1"/>
      <c r="Z46" s="1" t="s">
        <v>63</v>
      </c>
      <c r="AA46" s="1"/>
      <c r="AB46" s="1" t="s">
        <v>63</v>
      </c>
      <c r="AC46">
        <v>70.14</v>
      </c>
      <c r="AF46" s="1">
        <v>45292.518171296295</v>
      </c>
      <c r="AG46" s="1" t="s">
        <v>63</v>
      </c>
      <c r="AH46" s="1">
        <v>45473.518425925926</v>
      </c>
      <c r="AI46" s="1" t="s">
        <v>63</v>
      </c>
      <c r="AJ46">
        <v>75.760000000000005</v>
      </c>
      <c r="AM46" s="1">
        <v>45474.519490740742</v>
      </c>
      <c r="AN46" s="1" t="s">
        <v>63</v>
      </c>
      <c r="AO46" s="1">
        <v>45657.519733796296</v>
      </c>
      <c r="AP46" s="1" t="s">
        <v>63</v>
      </c>
      <c r="AQ46">
        <v>75.760000000000005</v>
      </c>
      <c r="AT46" s="1">
        <v>45658.520231481481</v>
      </c>
      <c r="AU46" s="1" t="s">
        <v>63</v>
      </c>
      <c r="AV46" s="1">
        <v>45838.520335648151</v>
      </c>
      <c r="AW46" s="1" t="s">
        <v>63</v>
      </c>
      <c r="AX46">
        <v>79.69</v>
      </c>
      <c r="BA46" s="1">
        <v>45839.520821759259</v>
      </c>
      <c r="BB46" s="1" t="s">
        <v>63</v>
      </c>
      <c r="BC46" s="1">
        <v>46022.52103009259</v>
      </c>
      <c r="BD46" s="1" t="s">
        <v>63</v>
      </c>
      <c r="BE46">
        <v>79.69</v>
      </c>
      <c r="BH46" s="1">
        <v>46023.522083333337</v>
      </c>
      <c r="BI46" s="1" t="s">
        <v>63</v>
      </c>
      <c r="BJ46" s="1">
        <v>46203.522870370369</v>
      </c>
      <c r="BK46" s="1" t="s">
        <v>63</v>
      </c>
      <c r="BL46">
        <v>85.52</v>
      </c>
      <c r="BO46" s="1">
        <v>46204.523287037038</v>
      </c>
      <c r="BP46" s="1" t="s">
        <v>63</v>
      </c>
      <c r="BQ46" s="1">
        <v>46387.523564814815</v>
      </c>
      <c r="BR46" s="1" t="s">
        <v>63</v>
      </c>
      <c r="BS46">
        <v>83.59</v>
      </c>
      <c r="BV46" s="1">
        <v>46388.524097222224</v>
      </c>
      <c r="BW46" s="1" t="s">
        <v>63</v>
      </c>
      <c r="BX46" s="1">
        <v>46568.52447916667</v>
      </c>
      <c r="BY46" s="1" t="s">
        <v>63</v>
      </c>
      <c r="BZ46">
        <v>83.59</v>
      </c>
      <c r="CC46" s="1">
        <v>46569.525057870371</v>
      </c>
      <c r="CD46" s="1" t="s">
        <v>63</v>
      </c>
      <c r="CE46" s="1">
        <v>46752.525393518517</v>
      </c>
      <c r="CF46" s="1" t="s">
        <v>63</v>
      </c>
      <c r="CG46">
        <v>83.59</v>
      </c>
      <c r="CJ46" s="1">
        <v>46753.526018518518</v>
      </c>
      <c r="CK46" s="1" t="s">
        <v>63</v>
      </c>
      <c r="CL46" s="1">
        <v>46934.526377314818</v>
      </c>
      <c r="CM46" s="1" t="s">
        <v>63</v>
      </c>
      <c r="CN46">
        <v>88.67</v>
      </c>
      <c r="CQ46" s="1">
        <v>46935.478564814817</v>
      </c>
      <c r="CR46" s="1" t="s">
        <v>63</v>
      </c>
      <c r="CS46" s="1">
        <v>47118.478356481479</v>
      </c>
      <c r="CT46" s="1" t="s">
        <v>63</v>
      </c>
      <c r="CV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t="e">
        <f ca="1">STRCHECKDATE(V47:CU47)</f>
        <v>#NAME?</v>
      </c>
      <c r="CY46" t="str">
        <f t="shared" si="1"/>
        <v>с НДС</v>
      </c>
      <c r="DB46">
        <v>23</v>
      </c>
    </row>
    <row r="47" spans="1:106" ht="20.25" customHeight="1" x14ac:dyDescent="0.15">
      <c r="A47" t="s">
        <v>318</v>
      </c>
      <c r="B47" t="s">
        <v>319</v>
      </c>
      <c r="C47" t="s">
        <v>320</v>
      </c>
      <c r="D47" t="s">
        <v>635</v>
      </c>
      <c r="E47" s="1"/>
      <c r="F47" s="1"/>
      <c r="G47" s="1"/>
      <c r="H47" s="1"/>
      <c r="I47" s="1"/>
      <c r="J47" s="1"/>
      <c r="K47" s="1"/>
      <c r="P47" s="1"/>
      <c r="Q47" s="1"/>
      <c r="X47" t="str">
        <f>Y46&amp;"-"&amp;AA46</f>
        <v>-</v>
      </c>
      <c r="Y47" s="1"/>
      <c r="Z47" s="1"/>
      <c r="AA47" s="1"/>
      <c r="AB47" s="1"/>
      <c r="AE47" t="str">
        <f>AF46&amp;"-"&amp;AH46</f>
        <v>45292,5181712963-45473,5184259259</v>
      </c>
      <c r="AF47" s="1"/>
      <c r="AG47" s="1"/>
      <c r="AH47" s="1"/>
      <c r="AI47" s="1"/>
      <c r="AL47" t="str">
        <f>AM46&amp;"-"&amp;AO46</f>
        <v>45474,5194907407-45657,5197337963</v>
      </c>
      <c r="AM47" s="1"/>
      <c r="AN47" s="1"/>
      <c r="AO47" s="1"/>
      <c r="AP47" s="1"/>
      <c r="AS47" t="str">
        <f>AT46&amp;"-"&amp;AV46</f>
        <v>45658,5202314815-45838,5203356482</v>
      </c>
      <c r="AT47" s="1"/>
      <c r="AU47" s="1"/>
      <c r="AV47" s="1"/>
      <c r="AW47" s="1"/>
      <c r="AZ47" t="str">
        <f>BA46&amp;"-"&amp;BC46</f>
        <v>45839,5208217593-46022,5210300926</v>
      </c>
      <c r="BA47" s="1"/>
      <c r="BB47" s="1"/>
      <c r="BC47" s="1"/>
      <c r="BD47" s="1"/>
      <c r="BG47" t="str">
        <f>BH46&amp;"-"&amp;BJ46</f>
        <v>46023,5220833333-46203,5228703704</v>
      </c>
      <c r="BH47" s="1"/>
      <c r="BI47" s="1"/>
      <c r="BJ47" s="1"/>
      <c r="BK47" s="1"/>
      <c r="BN47" t="str">
        <f>BO46&amp;"-"&amp;BQ46</f>
        <v>46204,523287037-46387,5235648148</v>
      </c>
      <c r="BO47" s="1"/>
      <c r="BP47" s="1"/>
      <c r="BQ47" s="1"/>
      <c r="BR47" s="1"/>
      <c r="BU47" t="str">
        <f>BV46&amp;"-"&amp;BX46</f>
        <v>46388,5240972222-46568,5244791667</v>
      </c>
      <c r="BV47" s="1"/>
      <c r="BW47" s="1"/>
      <c r="BX47" s="1"/>
      <c r="BY47" s="1"/>
      <c r="CB47" t="str">
        <f>CC46&amp;"-"&amp;CE46</f>
        <v>46569,5250578704-46752,5253935185</v>
      </c>
      <c r="CC47" s="1"/>
      <c r="CD47" s="1"/>
      <c r="CE47" s="1"/>
      <c r="CF47" s="1"/>
      <c r="CI47" t="str">
        <f>CJ46&amp;"-"&amp;CL46</f>
        <v>46753,5260185185-46934,5263773148</v>
      </c>
      <c r="CJ47" s="1"/>
      <c r="CK47" s="1"/>
      <c r="CL47" s="1"/>
      <c r="CM47" s="1"/>
      <c r="CP47" t="str">
        <f>CQ46&amp;"-"&amp;CS46</f>
        <v>46935,4785648148-47118,4783564815</v>
      </c>
      <c r="CQ47" s="1"/>
      <c r="CR47" s="1"/>
      <c r="CS47" s="1"/>
      <c r="CT47" s="1"/>
      <c r="CV47" s="1"/>
      <c r="CY47" t="str">
        <f t="shared" si="1"/>
        <v/>
      </c>
      <c r="DB47">
        <v>0</v>
      </c>
    </row>
    <row r="48" spans="1:106" ht="21" customHeight="1" x14ac:dyDescent="0.15">
      <c r="A48" t="s">
        <v>318</v>
      </c>
      <c r="B48" t="s">
        <v>319</v>
      </c>
      <c r="C48" t="s">
        <v>320</v>
      </c>
      <c r="D48" t="s">
        <v>635</v>
      </c>
      <c r="E48" s="1"/>
      <c r="F48" s="1"/>
      <c r="G48" s="1"/>
      <c r="H48" s="1"/>
      <c r="I48" s="1"/>
      <c r="J48" s="1"/>
      <c r="P48" s="1"/>
      <c r="Q48" s="1"/>
      <c r="T48" t="s">
        <v>601</v>
      </c>
      <c r="CV48" t="s">
        <v>602</v>
      </c>
      <c r="CY48" t="str">
        <f t="shared" si="1"/>
        <v>Добавить значение признака дифференциации</v>
      </c>
      <c r="DB48">
        <v>20</v>
      </c>
    </row>
    <row r="49" spans="1:106" ht="23.25" customHeight="1" x14ac:dyDescent="0.15">
      <c r="E49" s="1"/>
      <c r="F49" s="1"/>
      <c r="G49" s="1"/>
      <c r="H49" s="1"/>
      <c r="I49" s="1"/>
      <c r="J49" s="1" t="str">
        <f>I44&amp;".2"</f>
        <v>1.1.1.1.2</v>
      </c>
      <c r="L49" t="s">
        <v>524</v>
      </c>
      <c r="P49" s="1"/>
      <c r="Q49" s="1" t="s">
        <v>106</v>
      </c>
      <c r="S49" t="str">
        <f>$J49</f>
        <v>1.1.1.1.2</v>
      </c>
      <c r="T49" t="s">
        <v>525</v>
      </c>
      <c r="V49" s="1"/>
      <c r="W49" s="1"/>
      <c r="X49" s="1"/>
      <c r="Y49" s="1"/>
      <c r="Z49" s="1"/>
      <c r="AA49" s="1"/>
      <c r="AB49" s="1"/>
      <c r="AC49" s="1" t="s">
        <v>637</v>
      </c>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t="s">
        <v>600</v>
      </c>
      <c r="CY49" t="str">
        <f t="shared" si="1"/>
        <v>Группа потребителей</v>
      </c>
      <c r="DB49">
        <v>0</v>
      </c>
    </row>
    <row r="50" spans="1:106" ht="23.25" customHeight="1" x14ac:dyDescent="0.15">
      <c r="E50" s="1"/>
      <c r="F50" s="1"/>
      <c r="G50" s="1"/>
      <c r="H50" s="1"/>
      <c r="I50" s="1"/>
      <c r="J50" s="1" t="str">
        <f>I44&amp;".1"</f>
        <v>1.1.1.1.1</v>
      </c>
      <c r="K50" s="1" t="str">
        <f>J49&amp;".1"</f>
        <v>1.1.1.1.2.1</v>
      </c>
      <c r="P50" s="1"/>
      <c r="Q50" s="1"/>
      <c r="R50">
        <v>1</v>
      </c>
      <c r="S50" t="str">
        <f>$K50</f>
        <v>1.1.1.1.2.1</v>
      </c>
      <c r="T50" t="s">
        <v>594</v>
      </c>
      <c r="Y50" s="1"/>
      <c r="Z50" s="1" t="s">
        <v>63</v>
      </c>
      <c r="AA50" s="1"/>
      <c r="AB50" s="1" t="s">
        <v>63</v>
      </c>
      <c r="AC50">
        <v>58.45</v>
      </c>
      <c r="AF50" s="1">
        <v>45292.51829861111</v>
      </c>
      <c r="AG50" s="1" t="s">
        <v>63</v>
      </c>
      <c r="AH50" s="1">
        <v>45473.518553240741</v>
      </c>
      <c r="AI50" s="1" t="s">
        <v>63</v>
      </c>
      <c r="AJ50">
        <v>63.13</v>
      </c>
      <c r="AM50" s="1">
        <v>45474.519641203704</v>
      </c>
      <c r="AN50" s="1" t="s">
        <v>63</v>
      </c>
      <c r="AO50" s="1">
        <v>45657.519837962966</v>
      </c>
      <c r="AP50" s="1" t="s">
        <v>63</v>
      </c>
      <c r="AQ50">
        <v>63.13</v>
      </c>
      <c r="AT50" s="1">
        <v>45658.520405092589</v>
      </c>
      <c r="AU50" s="1" t="s">
        <v>63</v>
      </c>
      <c r="AV50" s="1">
        <v>45838.520497685182</v>
      </c>
      <c r="AW50" s="1" t="s">
        <v>63</v>
      </c>
      <c r="AX50">
        <v>66.41</v>
      </c>
      <c r="BA50" s="1">
        <v>45839.520983796298</v>
      </c>
      <c r="BB50" s="1" t="s">
        <v>63</v>
      </c>
      <c r="BC50" s="1">
        <v>46022.521122685182</v>
      </c>
      <c r="BD50" s="1" t="s">
        <v>63</v>
      </c>
      <c r="BE50">
        <v>66.41</v>
      </c>
      <c r="BH50" s="1">
        <v>46023.522372685184</v>
      </c>
      <c r="BI50" s="1" t="s">
        <v>63</v>
      </c>
      <c r="BJ50" s="1">
        <v>46203.522986111115</v>
      </c>
      <c r="BK50" s="1" t="s">
        <v>63</v>
      </c>
      <c r="BL50">
        <v>71.27</v>
      </c>
      <c r="BO50" s="1">
        <v>46203.5234375</v>
      </c>
      <c r="BP50" s="1" t="s">
        <v>63</v>
      </c>
      <c r="BQ50" s="1">
        <v>46387.523784722223</v>
      </c>
      <c r="BR50" s="1" t="s">
        <v>63</v>
      </c>
      <c r="BS50">
        <v>69.66</v>
      </c>
      <c r="BV50" s="1">
        <v>46388.524212962962</v>
      </c>
      <c r="BW50" s="1" t="s">
        <v>63</v>
      </c>
      <c r="BX50" s="1">
        <v>46568.524606481478</v>
      </c>
      <c r="BY50" s="1" t="s">
        <v>63</v>
      </c>
      <c r="BZ50">
        <v>69.66</v>
      </c>
      <c r="CC50" s="1">
        <v>46569.525266203702</v>
      </c>
      <c r="CD50" s="1" t="s">
        <v>63</v>
      </c>
      <c r="CE50" s="1">
        <v>46752.525659722225</v>
      </c>
      <c r="CF50" s="1" t="s">
        <v>63</v>
      </c>
      <c r="CG50">
        <v>69.66</v>
      </c>
      <c r="CJ50" s="1">
        <v>46753.52616898148</v>
      </c>
      <c r="CK50" s="1" t="s">
        <v>63</v>
      </c>
      <c r="CL50" s="1">
        <v>46934.526284722226</v>
      </c>
      <c r="CM50" s="1" t="s">
        <v>63</v>
      </c>
      <c r="CN50">
        <v>73.89</v>
      </c>
      <c r="CQ50" s="1">
        <v>46935.478680555556</v>
      </c>
      <c r="CR50" s="1" t="s">
        <v>63</v>
      </c>
      <c r="CS50" s="1">
        <v>47118.478483796294</v>
      </c>
      <c r="CT50" s="1" t="s">
        <v>63</v>
      </c>
      <c r="CV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t="e">
        <f ca="1">STRCHECKDATE(V51:CU51)</f>
        <v>#NAME?</v>
      </c>
      <c r="CY50" t="str">
        <f t="shared" si="1"/>
        <v>без НДС</v>
      </c>
      <c r="DB50">
        <v>0</v>
      </c>
    </row>
    <row r="51" spans="1:106" ht="14.25" customHeight="1" x14ac:dyDescent="0.15">
      <c r="E51" s="1"/>
      <c r="F51" s="1"/>
      <c r="G51" s="1"/>
      <c r="H51" s="1"/>
      <c r="I51" s="1"/>
      <c r="J51" s="1" t="str">
        <f>I44&amp;".1"</f>
        <v>1.1.1.1.1</v>
      </c>
      <c r="K51" s="1"/>
      <c r="P51" s="1"/>
      <c r="Q51" s="1"/>
      <c r="X51" t="str">
        <f>Y50&amp;"-"&amp;AA50</f>
        <v>-</v>
      </c>
      <c r="Y51" s="1"/>
      <c r="Z51" s="1"/>
      <c r="AA51" s="1"/>
      <c r="AB51" s="1"/>
      <c r="AE51" t="str">
        <f>AF50&amp;"-"&amp;AH50</f>
        <v>45292,5182986111-45473,5185532407</v>
      </c>
      <c r="AF51" s="1"/>
      <c r="AG51" s="1"/>
      <c r="AH51" s="1"/>
      <c r="AI51" s="1"/>
      <c r="AL51" t="str">
        <f>AM50&amp;"-"&amp;AO50</f>
        <v>45474,5196412037-45657,519837963</v>
      </c>
      <c r="AM51" s="1"/>
      <c r="AN51" s="1"/>
      <c r="AO51" s="1"/>
      <c r="AP51" s="1"/>
      <c r="AS51" t="str">
        <f>AT50&amp;"-"&amp;AV50</f>
        <v>45658,5204050926-45838,5204976852</v>
      </c>
      <c r="AT51" s="1"/>
      <c r="AU51" s="1"/>
      <c r="AV51" s="1"/>
      <c r="AW51" s="1"/>
      <c r="AZ51" t="str">
        <f>BA50&amp;"-"&amp;BC50</f>
        <v>45839,5209837963-46022,5211226852</v>
      </c>
      <c r="BA51" s="1"/>
      <c r="BB51" s="1"/>
      <c r="BC51" s="1"/>
      <c r="BD51" s="1"/>
      <c r="BG51" t="str">
        <f>BH50&amp;"-"&amp;BJ50</f>
        <v>46023,5223726852-46203,5229861111</v>
      </c>
      <c r="BH51" s="1"/>
      <c r="BI51" s="1"/>
      <c r="BJ51" s="1"/>
      <c r="BK51" s="1"/>
      <c r="BN51" t="str">
        <f>BO50&amp;"-"&amp;BQ50</f>
        <v>46203,5234375-46387,5237847222</v>
      </c>
      <c r="BO51" s="1"/>
      <c r="BP51" s="1"/>
      <c r="BQ51" s="1"/>
      <c r="BR51" s="1"/>
      <c r="BU51" t="str">
        <f>BV50&amp;"-"&amp;BX50</f>
        <v>46388,524212963-46568,5246064815</v>
      </c>
      <c r="BV51" s="1"/>
      <c r="BW51" s="1"/>
      <c r="BX51" s="1"/>
      <c r="BY51" s="1"/>
      <c r="CB51" t="str">
        <f>CC50&amp;"-"&amp;CE50</f>
        <v>46569,5252662037-46752,5256597222</v>
      </c>
      <c r="CC51" s="1"/>
      <c r="CD51" s="1"/>
      <c r="CE51" s="1"/>
      <c r="CF51" s="1"/>
      <c r="CI51" t="str">
        <f>CJ50&amp;"-"&amp;CL50</f>
        <v>46753,5261689815-46934,5262847222</v>
      </c>
      <c r="CJ51" s="1"/>
      <c r="CK51" s="1"/>
      <c r="CL51" s="1"/>
      <c r="CM51" s="1"/>
      <c r="CP51" t="str">
        <f>CQ50&amp;"-"&amp;CS50</f>
        <v>46935,4786805556-47118,4784837963</v>
      </c>
      <c r="CQ51" s="1"/>
      <c r="CR51" s="1"/>
      <c r="CS51" s="1"/>
      <c r="CT51" s="1"/>
      <c r="CV51" s="1"/>
      <c r="CY51" t="str">
        <f t="shared" si="1"/>
        <v/>
      </c>
      <c r="DB51">
        <v>0</v>
      </c>
    </row>
    <row r="52" spans="1:106" ht="21" customHeight="1" x14ac:dyDescent="0.15">
      <c r="E52" s="1"/>
      <c r="F52" s="1"/>
      <c r="G52" s="1"/>
      <c r="H52" s="1"/>
      <c r="I52" s="1"/>
      <c r="J52" s="1" t="str">
        <f>I44&amp;".1"</f>
        <v>1.1.1.1.1</v>
      </c>
      <c r="P52" s="1"/>
      <c r="Q52" s="1"/>
      <c r="T52" t="s">
        <v>601</v>
      </c>
      <c r="CV52" t="s">
        <v>602</v>
      </c>
      <c r="CY52" t="str">
        <f t="shared" si="1"/>
        <v>Добавить значение признака дифференциации</v>
      </c>
      <c r="DB52">
        <v>0</v>
      </c>
    </row>
    <row r="53" spans="1:106" ht="21.95" customHeight="1" x14ac:dyDescent="0.15">
      <c r="A53" t="s">
        <v>318</v>
      </c>
      <c r="B53" t="s">
        <v>319</v>
      </c>
      <c r="C53" t="s">
        <v>320</v>
      </c>
      <c r="D53" t="s">
        <v>635</v>
      </c>
      <c r="E53" s="1"/>
      <c r="F53" s="1"/>
      <c r="G53" s="1"/>
      <c r="H53" s="1"/>
      <c r="I53" s="1"/>
      <c r="P53" s="1"/>
      <c r="T53" t="s">
        <v>530</v>
      </c>
      <c r="CY53" t="str">
        <f t="shared" si="1"/>
        <v>Добавить группу потребителей</v>
      </c>
      <c r="DB53">
        <v>21</v>
      </c>
    </row>
    <row r="54" spans="1:106" ht="21.95" customHeight="1" x14ac:dyDescent="0.15">
      <c r="A54" t="s">
        <v>318</v>
      </c>
      <c r="B54" t="s">
        <v>319</v>
      </c>
      <c r="C54" t="s">
        <v>320</v>
      </c>
      <c r="D54" t="s">
        <v>635</v>
      </c>
      <c r="E54" s="1"/>
      <c r="F54" s="1"/>
      <c r="G54" s="1"/>
      <c r="H54" s="1"/>
      <c r="T54" t="s">
        <v>603</v>
      </c>
      <c r="CY54" t="str">
        <f t="shared" si="1"/>
        <v>Добавить наименование признака дифференциации</v>
      </c>
      <c r="DB54">
        <v>21</v>
      </c>
    </row>
    <row r="55" spans="1:106" ht="0" hidden="1" customHeight="1" x14ac:dyDescent="0.15">
      <c r="A55" t="s">
        <v>318</v>
      </c>
      <c r="B55" t="s">
        <v>319</v>
      </c>
      <c r="E55" s="1"/>
      <c r="F55" s="1"/>
      <c r="T55" t="s">
        <v>321</v>
      </c>
      <c r="CY55" t="str">
        <f t="shared" si="1"/>
        <v>Добавить централизованную систему для дифференциации</v>
      </c>
      <c r="DB55">
        <v>0</v>
      </c>
    </row>
    <row r="56" spans="1:106" ht="23.25" customHeight="1" x14ac:dyDescent="0.15">
      <c r="B56" t="s">
        <v>323</v>
      </c>
      <c r="E56" s="1"/>
      <c r="F56" s="1" t="s">
        <v>105</v>
      </c>
      <c r="S56" t="str">
        <f>INDEX(PT_DIFFERENTIATION_NUM_TER,MATCH(B56,PT_DIFFERENTIATION_TER_ID,0))</f>
        <v>1.2</v>
      </c>
      <c r="T56" t="s">
        <v>515</v>
      </c>
      <c r="V56" s="1"/>
      <c r="W56" s="1"/>
      <c r="X56" s="1"/>
      <c r="Y56" s="1"/>
      <c r="Z56" s="1"/>
      <c r="AA56" s="1"/>
      <c r="AB56" s="1"/>
      <c r="AC56" s="1" t="str">
        <f>INDEX(PT_DIFFERENTIATION_TER,MATCH(B56,PT_DIFFERENTIATION_TER_ID,0))</f>
        <v>Территория 2</v>
      </c>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t="s">
        <v>516</v>
      </c>
      <c r="CY56" t="str">
        <f t="shared" si="1"/>
        <v>Территория действия тарифа</v>
      </c>
      <c r="DB56">
        <v>0</v>
      </c>
    </row>
    <row r="57" spans="1:106" ht="23.25" customHeight="1" x14ac:dyDescent="0.15">
      <c r="C57" t="s">
        <v>324</v>
      </c>
      <c r="E57" s="1"/>
      <c r="F57" s="1">
        <v>1</v>
      </c>
      <c r="G57" s="1">
        <v>1</v>
      </c>
      <c r="S57" t="str">
        <f>INDEX(PT_DIFFERENTIATION_NUM_CS,MATCH(C57,PT_DIFFERENTIATION_CS_ID,0))</f>
        <v>1.2.1</v>
      </c>
      <c r="T57" t="s">
        <v>631</v>
      </c>
      <c r="V57" s="1"/>
      <c r="W57" s="1"/>
      <c r="X57" s="1"/>
      <c r="Y57" s="1"/>
      <c r="Z57" s="1"/>
      <c r="AA57" s="1"/>
      <c r="AB57" s="1"/>
      <c r="AC57" s="1" t="str">
        <f>INDEX(PT_DIFFERENTIATION_CS,MATCH(C57,PT_DIFFERENTIATION_CS_ID,0))</f>
        <v>пгт. Новошахтинский</v>
      </c>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t="s">
        <v>632</v>
      </c>
      <c r="CY57" t="str">
        <f t="shared" si="1"/>
        <v>Наименование централизованной системы водоотведения</v>
      </c>
      <c r="DB57">
        <v>0</v>
      </c>
    </row>
    <row r="58" spans="1:106" ht="23.25" customHeight="1" x14ac:dyDescent="0.15">
      <c r="E58" s="1"/>
      <c r="F58" s="1">
        <v>1</v>
      </c>
      <c r="G58" s="1"/>
      <c r="H58" s="1"/>
      <c r="I58" s="1" t="str">
        <f>S57&amp;".1"</f>
        <v>1.2.1.1</v>
      </c>
      <c r="P58" s="1">
        <v>1</v>
      </c>
      <c r="S58" t="str">
        <f>$I58</f>
        <v>1.2.1.1</v>
      </c>
      <c r="T58" t="s">
        <v>598</v>
      </c>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t="s">
        <v>599</v>
      </c>
      <c r="CY58" t="str">
        <f t="shared" si="1"/>
        <v>Наименование признака дифференциации</v>
      </c>
      <c r="DB58">
        <v>0</v>
      </c>
    </row>
    <row r="59" spans="1:106" ht="23.25" customHeight="1" x14ac:dyDescent="0.15">
      <c r="E59" s="1"/>
      <c r="F59" s="1">
        <v>1</v>
      </c>
      <c r="G59" s="1"/>
      <c r="H59" s="1"/>
      <c r="I59" s="1"/>
      <c r="J59" s="1" t="str">
        <f>I58&amp;".1"</f>
        <v>1.2.1.1.1</v>
      </c>
      <c r="L59" t="s">
        <v>524</v>
      </c>
      <c r="P59" s="1"/>
      <c r="Q59" s="1">
        <v>1</v>
      </c>
      <c r="S59" t="str">
        <f>$J59</f>
        <v>1.2.1.1.1</v>
      </c>
      <c r="T59" t="s">
        <v>525</v>
      </c>
      <c r="V59" s="1"/>
      <c r="W59" s="1"/>
      <c r="X59" s="1"/>
      <c r="Y59" s="1"/>
      <c r="Z59" s="1"/>
      <c r="AA59" s="1"/>
      <c r="AB59" s="1"/>
      <c r="AC59" s="1" t="s">
        <v>636</v>
      </c>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t="s">
        <v>600</v>
      </c>
      <c r="CY59" t="str">
        <f t="shared" si="1"/>
        <v>Группа потребителей</v>
      </c>
      <c r="DB59">
        <v>0</v>
      </c>
    </row>
    <row r="60" spans="1:106" ht="23.25" customHeight="1" x14ac:dyDescent="0.15">
      <c r="E60" s="1"/>
      <c r="F60" s="1">
        <v>1</v>
      </c>
      <c r="G60" s="1"/>
      <c r="H60" s="1"/>
      <c r="I60" s="1"/>
      <c r="J60" s="1"/>
      <c r="K60" s="1" t="str">
        <f>J59&amp;".1"</f>
        <v>1.2.1.1.1.1</v>
      </c>
      <c r="P60" s="1"/>
      <c r="Q60" s="1"/>
      <c r="R60">
        <v>1</v>
      </c>
      <c r="S60" t="str">
        <f>$K60</f>
        <v>1.2.1.1.1.1</v>
      </c>
      <c r="Y60" s="1"/>
      <c r="Z60" s="1" t="s">
        <v>63</v>
      </c>
      <c r="AA60" s="1"/>
      <c r="AB60" s="1" t="s">
        <v>63</v>
      </c>
      <c r="AC60">
        <v>27.14</v>
      </c>
      <c r="AF60" s="1">
        <v>45292.506388888891</v>
      </c>
      <c r="AG60" s="1" t="s">
        <v>63</v>
      </c>
      <c r="AH60" s="1">
        <v>45473.507395833331</v>
      </c>
      <c r="AI60" s="1" t="s">
        <v>63</v>
      </c>
      <c r="AJ60">
        <v>35.29</v>
      </c>
      <c r="AM60" s="1">
        <v>45474.507569444446</v>
      </c>
      <c r="AN60" s="1" t="s">
        <v>63</v>
      </c>
      <c r="AO60" s="1">
        <v>45657.507731481484</v>
      </c>
      <c r="AP60" s="1" t="s">
        <v>63</v>
      </c>
      <c r="AQ60">
        <v>35.29</v>
      </c>
      <c r="AT60" s="1">
        <v>45658.507928240739</v>
      </c>
      <c r="AU60" s="1" t="s">
        <v>63</v>
      </c>
      <c r="AV60" s="1">
        <v>45838.508125</v>
      </c>
      <c r="AW60" s="1" t="s">
        <v>63</v>
      </c>
      <c r="AX60">
        <v>41.29</v>
      </c>
      <c r="BA60" s="1">
        <v>45839.508587962962</v>
      </c>
      <c r="BB60" s="1" t="s">
        <v>63</v>
      </c>
      <c r="BC60" s="1">
        <v>46022.508796296293</v>
      </c>
      <c r="BD60" s="1" t="s">
        <v>63</v>
      </c>
      <c r="BE60">
        <v>41.29</v>
      </c>
      <c r="BH60" s="1">
        <v>46023.509039351855</v>
      </c>
      <c r="BI60" s="1" t="s">
        <v>63</v>
      </c>
      <c r="BJ60" s="1">
        <v>46203.509444444448</v>
      </c>
      <c r="BK60" s="1" t="s">
        <v>63</v>
      </c>
      <c r="BL60">
        <v>43.36</v>
      </c>
      <c r="BO60" s="1">
        <v>46204.509722222225</v>
      </c>
      <c r="BP60" s="1" t="s">
        <v>63</v>
      </c>
      <c r="BQ60" s="1">
        <v>46387.509930555556</v>
      </c>
      <c r="BR60" s="1" t="s">
        <v>63</v>
      </c>
      <c r="BS60">
        <v>43.36</v>
      </c>
      <c r="BV60" s="1">
        <v>46388.51017361111</v>
      </c>
      <c r="BW60" s="1" t="s">
        <v>63</v>
      </c>
      <c r="BX60" s="1">
        <v>46568.510416666664</v>
      </c>
      <c r="BY60" s="1" t="s">
        <v>63</v>
      </c>
      <c r="BZ60">
        <v>45.09</v>
      </c>
      <c r="CC60" s="1">
        <v>46569.510949074072</v>
      </c>
      <c r="CD60" s="1" t="s">
        <v>63</v>
      </c>
      <c r="CE60" s="1">
        <v>46752.511192129627</v>
      </c>
      <c r="CF60" s="1" t="s">
        <v>63</v>
      </c>
      <c r="CG60">
        <v>45.09</v>
      </c>
      <c r="CJ60" s="1">
        <v>46753.511342592596</v>
      </c>
      <c r="CK60" s="1" t="s">
        <v>63</v>
      </c>
      <c r="CL60" s="1">
        <v>46934.511574074073</v>
      </c>
      <c r="CM60" s="1" t="s">
        <v>63</v>
      </c>
      <c r="CN60">
        <v>45.83</v>
      </c>
      <c r="CQ60" s="1">
        <v>46935.511921296296</v>
      </c>
      <c r="CR60" s="1" t="s">
        <v>63</v>
      </c>
      <c r="CS60" s="1">
        <v>47118.512604166666</v>
      </c>
      <c r="CT60" s="1" t="s">
        <v>63</v>
      </c>
      <c r="CV6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0" t="e">
        <f ca="1">STRCHECKDATE(V61:CU61)</f>
        <v>#NAME?</v>
      </c>
      <c r="CY60" t="str">
        <f t="shared" si="1"/>
        <v/>
      </c>
      <c r="DB60">
        <v>0</v>
      </c>
    </row>
    <row r="61" spans="1:106" ht="14.25" customHeight="1" x14ac:dyDescent="0.15">
      <c r="E61" s="1"/>
      <c r="F61" s="1">
        <v>1</v>
      </c>
      <c r="G61" s="1"/>
      <c r="H61" s="1"/>
      <c r="I61" s="1"/>
      <c r="J61" s="1"/>
      <c r="K61" s="1"/>
      <c r="P61" s="1"/>
      <c r="Q61" s="1"/>
      <c r="X61" t="str">
        <f>Y60&amp;"-"&amp;AA60</f>
        <v>-</v>
      </c>
      <c r="Y61" s="1"/>
      <c r="Z61" s="1"/>
      <c r="AA61" s="1"/>
      <c r="AB61" s="1"/>
      <c r="AE61" t="str">
        <f>AF60&amp;"-"&amp;AH60</f>
        <v>45292,5063888889-45473,5073958333</v>
      </c>
      <c r="AF61" s="1"/>
      <c r="AG61" s="1"/>
      <c r="AH61" s="1"/>
      <c r="AI61" s="1"/>
      <c r="AL61" t="str">
        <f>AM60&amp;"-"&amp;AO60</f>
        <v>45474,5075694444-45657,5077314815</v>
      </c>
      <c r="AM61" s="1"/>
      <c r="AN61" s="1"/>
      <c r="AO61" s="1"/>
      <c r="AP61" s="1"/>
      <c r="AS61" t="str">
        <f>AT60&amp;"-"&amp;AV60</f>
        <v>45658,5079282407-45838,508125</v>
      </c>
      <c r="AT61" s="1"/>
      <c r="AU61" s="1"/>
      <c r="AV61" s="1"/>
      <c r="AW61" s="1"/>
      <c r="AZ61" t="str">
        <f>BA60&amp;"-"&amp;BC60</f>
        <v>45839,508587963-46022,5087962963</v>
      </c>
      <c r="BA61" s="1"/>
      <c r="BB61" s="1"/>
      <c r="BC61" s="1"/>
      <c r="BD61" s="1"/>
      <c r="BG61" t="str">
        <f>BH60&amp;"-"&amp;BJ60</f>
        <v>46023,5090393519-46203,5094444444</v>
      </c>
      <c r="BH61" s="1"/>
      <c r="BI61" s="1"/>
      <c r="BJ61" s="1"/>
      <c r="BK61" s="1"/>
      <c r="BN61" t="str">
        <f>BO60&amp;"-"&amp;BQ60</f>
        <v>46204,5097222222-46387,5099305556</v>
      </c>
      <c r="BO61" s="1"/>
      <c r="BP61" s="1"/>
      <c r="BQ61" s="1"/>
      <c r="BR61" s="1"/>
      <c r="BU61" t="str">
        <f>BV60&amp;"-"&amp;BX60</f>
        <v>46388,5101736111-46568,5104166667</v>
      </c>
      <c r="BV61" s="1"/>
      <c r="BW61" s="1"/>
      <c r="BX61" s="1"/>
      <c r="BY61" s="1"/>
      <c r="CB61" t="str">
        <f>CC60&amp;"-"&amp;CE60</f>
        <v>46569,5109490741-46752,5111921296</v>
      </c>
      <c r="CC61" s="1"/>
      <c r="CD61" s="1"/>
      <c r="CE61" s="1"/>
      <c r="CF61" s="1"/>
      <c r="CI61" t="str">
        <f>CJ60&amp;"-"&amp;CL60</f>
        <v>46753,5113425926-46934,5115740741</v>
      </c>
      <c r="CJ61" s="1"/>
      <c r="CK61" s="1"/>
      <c r="CL61" s="1"/>
      <c r="CM61" s="1"/>
      <c r="CP61" t="str">
        <f>CQ60&amp;"-"&amp;CS60</f>
        <v>46935,5119212963-47118,5126041667</v>
      </c>
      <c r="CQ61" s="1"/>
      <c r="CR61" s="1"/>
      <c r="CS61" s="1"/>
      <c r="CT61" s="1"/>
      <c r="CV61" s="1"/>
      <c r="CY61" t="str">
        <f t="shared" si="1"/>
        <v/>
      </c>
      <c r="DB61">
        <v>0</v>
      </c>
    </row>
    <row r="62" spans="1:106" ht="21" customHeight="1" x14ac:dyDescent="0.15">
      <c r="E62" s="1"/>
      <c r="F62" s="1">
        <v>1</v>
      </c>
      <c r="G62" s="1"/>
      <c r="H62" s="1"/>
      <c r="I62" s="1"/>
      <c r="J62" s="1"/>
      <c r="P62" s="1"/>
      <c r="Q62" s="1"/>
      <c r="T62" t="s">
        <v>601</v>
      </c>
      <c r="CV62" t="s">
        <v>602</v>
      </c>
      <c r="CY62" t="str">
        <f t="shared" si="1"/>
        <v>Добавить значение признака дифференциации</v>
      </c>
      <c r="DB62">
        <v>0</v>
      </c>
    </row>
    <row r="63" spans="1:106" ht="23.25" customHeight="1" x14ac:dyDescent="0.15">
      <c r="E63" s="1"/>
      <c r="F63" s="1"/>
      <c r="G63" s="1"/>
      <c r="H63" s="1"/>
      <c r="I63" s="1"/>
      <c r="J63" s="1" t="str">
        <f>I58&amp;".2"</f>
        <v>1.2.1.1.2</v>
      </c>
      <c r="L63" t="s">
        <v>524</v>
      </c>
      <c r="P63" s="1"/>
      <c r="Q63" s="1" t="s">
        <v>106</v>
      </c>
      <c r="S63" t="str">
        <f>$J63</f>
        <v>1.2.1.1.2</v>
      </c>
      <c r="T63" t="s">
        <v>525</v>
      </c>
      <c r="V63" s="1"/>
      <c r="W63" s="1"/>
      <c r="X63" s="1"/>
      <c r="Y63" s="1"/>
      <c r="Z63" s="1"/>
      <c r="AA63" s="1"/>
      <c r="AB63" s="1"/>
      <c r="AC63" s="1" t="s">
        <v>637</v>
      </c>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t="s">
        <v>600</v>
      </c>
      <c r="CY63" t="str">
        <f t="shared" si="1"/>
        <v>Группа потребителей</v>
      </c>
      <c r="DB63">
        <v>0</v>
      </c>
    </row>
    <row r="64" spans="1:106" ht="23.25" customHeight="1" x14ac:dyDescent="0.15">
      <c r="E64" s="1"/>
      <c r="F64" s="1"/>
      <c r="G64" s="1"/>
      <c r="H64" s="1"/>
      <c r="I64" s="1"/>
      <c r="J64" s="1" t="str">
        <f>I58&amp;".1"</f>
        <v>1.2.1.1.1</v>
      </c>
      <c r="K64" s="1" t="str">
        <f>J63&amp;".1"</f>
        <v>1.2.1.1.2.1</v>
      </c>
      <c r="P64" s="1"/>
      <c r="Q64" s="1"/>
      <c r="R64">
        <v>1</v>
      </c>
      <c r="S64" t="str">
        <f>$K64</f>
        <v>1.2.1.1.2.1</v>
      </c>
      <c r="Y64" s="1"/>
      <c r="Z64" s="1" t="s">
        <v>63</v>
      </c>
      <c r="AA64" s="1"/>
      <c r="AB64" s="1" t="s">
        <v>63</v>
      </c>
      <c r="AC64">
        <v>22.62</v>
      </c>
      <c r="AF64" s="1">
        <v>45292.506574074076</v>
      </c>
      <c r="AG64" s="1" t="s">
        <v>63</v>
      </c>
      <c r="AH64" s="1">
        <v>45473.507465277777</v>
      </c>
      <c r="AI64" s="1" t="s">
        <v>63</v>
      </c>
      <c r="AJ64">
        <v>29.41</v>
      </c>
      <c r="AM64" s="1">
        <v>45474.507662037038</v>
      </c>
      <c r="AN64" s="1" t="s">
        <v>63</v>
      </c>
      <c r="AO64" s="1">
        <v>45657.507800925923</v>
      </c>
      <c r="AP64" s="1" t="s">
        <v>63</v>
      </c>
      <c r="AQ64">
        <v>29.41</v>
      </c>
      <c r="AT64" s="1">
        <v>45658.508043981485</v>
      </c>
      <c r="AU64" s="1" t="s">
        <v>63</v>
      </c>
      <c r="AV64" s="1">
        <v>45838.508391203701</v>
      </c>
      <c r="AW64" s="1" t="s">
        <v>63</v>
      </c>
      <c r="AX64">
        <v>34.409999999999997</v>
      </c>
      <c r="BA64" s="1">
        <v>45474.508703703701</v>
      </c>
      <c r="BB64" s="1" t="s">
        <v>63</v>
      </c>
      <c r="BC64" s="1">
        <v>46022.50886574074</v>
      </c>
      <c r="BD64" s="1" t="s">
        <v>63</v>
      </c>
      <c r="BE64">
        <v>34.409999999999997</v>
      </c>
      <c r="BH64" s="1">
        <v>46023.509143518517</v>
      </c>
      <c r="BI64" s="1" t="s">
        <v>63</v>
      </c>
      <c r="BJ64" s="1">
        <v>46203.509548611109</v>
      </c>
      <c r="BK64" s="1" t="s">
        <v>63</v>
      </c>
      <c r="BL64">
        <v>36.130000000000003</v>
      </c>
      <c r="BO64" s="1">
        <v>46204.509837962964</v>
      </c>
      <c r="BP64" s="1" t="s">
        <v>63</v>
      </c>
      <c r="BQ64" s="1">
        <v>46387.510011574072</v>
      </c>
      <c r="BR64" s="1" t="s">
        <v>63</v>
      </c>
      <c r="BS64">
        <v>36.130000000000003</v>
      </c>
      <c r="BV64" s="1">
        <v>46388.510266203702</v>
      </c>
      <c r="BW64" s="1" t="s">
        <v>63</v>
      </c>
      <c r="BX64" s="1">
        <v>46568.510613425926</v>
      </c>
      <c r="BY64" s="1" t="s">
        <v>63</v>
      </c>
      <c r="BZ64">
        <v>37.58</v>
      </c>
      <c r="CC64" s="1">
        <v>46569.511087962965</v>
      </c>
      <c r="CD64" s="1" t="s">
        <v>63</v>
      </c>
      <c r="CE64" s="1">
        <v>46752.511261574073</v>
      </c>
      <c r="CF64" s="1" t="s">
        <v>63</v>
      </c>
      <c r="CG64">
        <v>37.58</v>
      </c>
      <c r="CJ64" s="1">
        <v>46753.511435185188</v>
      </c>
      <c r="CK64" s="1" t="s">
        <v>63</v>
      </c>
      <c r="CL64" s="1">
        <v>46934.511678240742</v>
      </c>
      <c r="CM64" s="1" t="s">
        <v>63</v>
      </c>
      <c r="CN64">
        <v>38.19</v>
      </c>
      <c r="CQ64" s="1">
        <v>46935.512002314812</v>
      </c>
      <c r="CR64" s="1" t="s">
        <v>63</v>
      </c>
      <c r="CS64" s="1">
        <v>47118.512812499997</v>
      </c>
      <c r="CT64" s="1" t="s">
        <v>63</v>
      </c>
      <c r="CV6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4" t="e">
        <f ca="1">STRCHECKDATE(V65:CU65)</f>
        <v>#NAME?</v>
      </c>
      <c r="CY64" t="str">
        <f t="shared" si="1"/>
        <v/>
      </c>
      <c r="DB64">
        <v>0</v>
      </c>
    </row>
    <row r="65" spans="2:106" ht="14.25" customHeight="1" x14ac:dyDescent="0.15">
      <c r="E65" s="1"/>
      <c r="F65" s="1"/>
      <c r="G65" s="1"/>
      <c r="H65" s="1"/>
      <c r="I65" s="1"/>
      <c r="J65" s="1" t="str">
        <f>I58&amp;".1"</f>
        <v>1.2.1.1.1</v>
      </c>
      <c r="K65" s="1"/>
      <c r="P65" s="1"/>
      <c r="Q65" s="1"/>
      <c r="X65" t="str">
        <f>Y64&amp;"-"&amp;AA64</f>
        <v>-</v>
      </c>
      <c r="Y65" s="1"/>
      <c r="Z65" s="1"/>
      <c r="AA65" s="1"/>
      <c r="AB65" s="1"/>
      <c r="AE65" t="str">
        <f>AF64&amp;"-"&amp;AH64</f>
        <v>45292,5065740741-45473,5074652778</v>
      </c>
      <c r="AF65" s="1"/>
      <c r="AG65" s="1"/>
      <c r="AH65" s="1"/>
      <c r="AI65" s="1"/>
      <c r="AL65" t="str">
        <f>AM64&amp;"-"&amp;AO64</f>
        <v>45474,507662037-45657,5078009259</v>
      </c>
      <c r="AM65" s="1"/>
      <c r="AN65" s="1"/>
      <c r="AO65" s="1"/>
      <c r="AP65" s="1"/>
      <c r="AS65" t="str">
        <f>AT64&amp;"-"&amp;AV64</f>
        <v>45658,5080439815-45838,5083912037</v>
      </c>
      <c r="AT65" s="1"/>
      <c r="AU65" s="1"/>
      <c r="AV65" s="1"/>
      <c r="AW65" s="1"/>
      <c r="AZ65" t="str">
        <f>BA64&amp;"-"&amp;BC64</f>
        <v>45474,5087037037-46022,5088657407</v>
      </c>
      <c r="BA65" s="1"/>
      <c r="BB65" s="1"/>
      <c r="BC65" s="1"/>
      <c r="BD65" s="1"/>
      <c r="BG65" t="str">
        <f>BH64&amp;"-"&amp;BJ64</f>
        <v>46023,5091435185-46203,5095486111</v>
      </c>
      <c r="BH65" s="1"/>
      <c r="BI65" s="1"/>
      <c r="BJ65" s="1"/>
      <c r="BK65" s="1"/>
      <c r="BN65" t="str">
        <f>BO64&amp;"-"&amp;BQ64</f>
        <v>46204,509837963-46387,5100115741</v>
      </c>
      <c r="BO65" s="1"/>
      <c r="BP65" s="1"/>
      <c r="BQ65" s="1"/>
      <c r="BR65" s="1"/>
      <c r="BU65" t="str">
        <f>BV64&amp;"-"&amp;BX64</f>
        <v>46388,5102662037-46568,5106134259</v>
      </c>
      <c r="BV65" s="1"/>
      <c r="BW65" s="1"/>
      <c r="BX65" s="1"/>
      <c r="BY65" s="1"/>
      <c r="CB65" t="str">
        <f>CC64&amp;"-"&amp;CE64</f>
        <v>46569,511087963-46752,5112615741</v>
      </c>
      <c r="CC65" s="1"/>
      <c r="CD65" s="1"/>
      <c r="CE65" s="1"/>
      <c r="CF65" s="1"/>
      <c r="CI65" t="str">
        <f>CJ64&amp;"-"&amp;CL64</f>
        <v>46753,5114351852-46934,5116782407</v>
      </c>
      <c r="CJ65" s="1"/>
      <c r="CK65" s="1"/>
      <c r="CL65" s="1"/>
      <c r="CM65" s="1"/>
      <c r="CP65" t="str">
        <f>CQ64&amp;"-"&amp;CS64</f>
        <v>46935,5120023148-47118,5128125</v>
      </c>
      <c r="CQ65" s="1"/>
      <c r="CR65" s="1"/>
      <c r="CS65" s="1"/>
      <c r="CT65" s="1"/>
      <c r="CV65" s="1"/>
      <c r="CY65" t="str">
        <f t="shared" si="1"/>
        <v/>
      </c>
      <c r="DB65">
        <v>0</v>
      </c>
    </row>
    <row r="66" spans="2:106" ht="21" customHeight="1" x14ac:dyDescent="0.15">
      <c r="E66" s="1"/>
      <c r="F66" s="1"/>
      <c r="G66" s="1"/>
      <c r="H66" s="1"/>
      <c r="I66" s="1"/>
      <c r="J66" s="1" t="str">
        <f>I58&amp;".1"</f>
        <v>1.2.1.1.1</v>
      </c>
      <c r="P66" s="1"/>
      <c r="Q66" s="1"/>
      <c r="T66" t="s">
        <v>601</v>
      </c>
      <c r="CV66" t="s">
        <v>602</v>
      </c>
      <c r="CY66" t="str">
        <f t="shared" si="1"/>
        <v>Добавить значение признака дифференциации</v>
      </c>
      <c r="DB66">
        <v>0</v>
      </c>
    </row>
    <row r="67" spans="2:106" ht="21" customHeight="1" x14ac:dyDescent="0.15">
      <c r="E67" s="1"/>
      <c r="F67" s="1">
        <v>1</v>
      </c>
      <c r="G67" s="1"/>
      <c r="H67" s="1"/>
      <c r="I67" s="1"/>
      <c r="P67" s="1"/>
      <c r="T67" t="s">
        <v>530</v>
      </c>
      <c r="CY67" t="str">
        <f t="shared" si="1"/>
        <v>Добавить группу потребителей</v>
      </c>
      <c r="DB67">
        <v>0</v>
      </c>
    </row>
    <row r="68" spans="2:106" ht="21" customHeight="1" x14ac:dyDescent="0.15">
      <c r="E68" s="1"/>
      <c r="F68" s="1">
        <v>1</v>
      </c>
      <c r="G68" s="1"/>
      <c r="H68" s="1"/>
      <c r="T68" t="s">
        <v>603</v>
      </c>
      <c r="CY68" t="str">
        <f t="shared" si="1"/>
        <v>Добавить наименование признака дифференциации</v>
      </c>
      <c r="DB68">
        <v>0</v>
      </c>
    </row>
    <row r="69" spans="2:106" ht="14.25" customHeight="1" x14ac:dyDescent="0.15">
      <c r="E69" s="1"/>
      <c r="F69" s="1">
        <v>1</v>
      </c>
      <c r="T69" t="s">
        <v>321</v>
      </c>
      <c r="CY69" t="str">
        <f t="shared" si="1"/>
        <v>Добавить централизованную систему для дифференциации</v>
      </c>
      <c r="DB69">
        <v>0</v>
      </c>
    </row>
    <row r="70" spans="2:106" ht="23.25" customHeight="1" x14ac:dyDescent="0.15">
      <c r="B70" t="s">
        <v>327</v>
      </c>
      <c r="E70" s="1"/>
      <c r="F70" s="1" t="s">
        <v>92</v>
      </c>
      <c r="S70" t="str">
        <f>INDEX(PT_DIFFERENTIATION_NUM_TER,MATCH(B70,PT_DIFFERENTIATION_TER_ID,0))</f>
        <v>1.3</v>
      </c>
      <c r="T70" t="s">
        <v>515</v>
      </c>
      <c r="V70" s="1"/>
      <c r="W70" s="1"/>
      <c r="X70" s="1"/>
      <c r="Y70" s="1"/>
      <c r="Z70" s="1"/>
      <c r="AA70" s="1"/>
      <c r="AB70" s="1"/>
      <c r="AC70" s="1" t="str">
        <f>INDEX(PT_DIFFERENTIATION_TER,MATCH(B70,PT_DIFFERENTIATION_TER_ID,0))</f>
        <v>Территория 3</v>
      </c>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t="s">
        <v>516</v>
      </c>
      <c r="CY70" t="str">
        <f t="shared" si="1"/>
        <v>Территория действия тарифа</v>
      </c>
      <c r="DB70">
        <v>0</v>
      </c>
    </row>
    <row r="71" spans="2:106" ht="23.25" customHeight="1" x14ac:dyDescent="0.15">
      <c r="C71" t="s">
        <v>328</v>
      </c>
      <c r="E71" s="1"/>
      <c r="F71" s="1" t="s">
        <v>105</v>
      </c>
      <c r="G71" s="1">
        <v>1</v>
      </c>
      <c r="S71" t="str">
        <f>INDEX(PT_DIFFERENTIATION_NUM_CS,MATCH(C71,PT_DIFFERENTIATION_CS_ID,0))</f>
        <v>1.3.1</v>
      </c>
      <c r="T71" t="s">
        <v>631</v>
      </c>
      <c r="V71" s="1"/>
      <c r="W71" s="1"/>
      <c r="X71" s="1"/>
      <c r="Y71" s="1"/>
      <c r="Z71" s="1"/>
      <c r="AA71" s="1"/>
      <c r="AB71" s="1"/>
      <c r="AC71" s="1" t="str">
        <f>INDEX(PT_DIFFERENTIATION_CS,MATCH(C71,PT_DIFFERENTIATION_CS_ID,0))</f>
        <v>Кавалеровский МО</v>
      </c>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t="s">
        <v>632</v>
      </c>
      <c r="CY71" t="str">
        <f t="shared" si="1"/>
        <v>Наименование централизованной системы водоотведения</v>
      </c>
      <c r="DB71">
        <v>0</v>
      </c>
    </row>
    <row r="72" spans="2:106" ht="23.25" customHeight="1" x14ac:dyDescent="0.15">
      <c r="E72" s="1"/>
      <c r="F72" s="1" t="s">
        <v>105</v>
      </c>
      <c r="G72" s="1"/>
      <c r="H72" s="1"/>
      <c r="I72" s="1" t="str">
        <f>S71&amp;".1"</f>
        <v>1.3.1.1</v>
      </c>
      <c r="P72" s="1">
        <v>1</v>
      </c>
      <c r="S72" t="str">
        <f>$I72</f>
        <v>1.3.1.1</v>
      </c>
      <c r="T72" t="s">
        <v>598</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t="s">
        <v>599</v>
      </c>
      <c r="CY72" t="str">
        <f t="shared" si="1"/>
        <v>Наименование признака дифференциации</v>
      </c>
      <c r="DB72">
        <v>0</v>
      </c>
    </row>
    <row r="73" spans="2:106" ht="23.25" customHeight="1" x14ac:dyDescent="0.15">
      <c r="E73" s="1"/>
      <c r="F73" s="1" t="s">
        <v>105</v>
      </c>
      <c r="G73" s="1"/>
      <c r="H73" s="1"/>
      <c r="I73" s="1"/>
      <c r="J73" s="1" t="str">
        <f>I72&amp;".1"</f>
        <v>1.3.1.1.1</v>
      </c>
      <c r="L73" t="s">
        <v>524</v>
      </c>
      <c r="P73" s="1"/>
      <c r="Q73" s="1">
        <v>1</v>
      </c>
      <c r="S73" t="str">
        <f>$J73</f>
        <v>1.3.1.1.1</v>
      </c>
      <c r="T73" t="s">
        <v>525</v>
      </c>
      <c r="V73" s="1"/>
      <c r="W73" s="1"/>
      <c r="X73" s="1"/>
      <c r="Y73" s="1"/>
      <c r="Z73" s="1"/>
      <c r="AA73" s="1"/>
      <c r="AB73" s="1"/>
      <c r="AC73" s="1" t="s">
        <v>636</v>
      </c>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t="s">
        <v>600</v>
      </c>
      <c r="CY73" t="str">
        <f t="shared" si="1"/>
        <v>Группа потребителей</v>
      </c>
      <c r="DB73">
        <v>0</v>
      </c>
    </row>
    <row r="74" spans="2:106" ht="23.25" customHeight="1" x14ac:dyDescent="0.15">
      <c r="E74" s="1"/>
      <c r="F74" s="1" t="s">
        <v>105</v>
      </c>
      <c r="G74" s="1"/>
      <c r="H74" s="1"/>
      <c r="I74" s="1"/>
      <c r="J74" s="1"/>
      <c r="K74" s="1" t="str">
        <f>J73&amp;".1"</f>
        <v>1.3.1.1.1.1</v>
      </c>
      <c r="P74" s="1"/>
      <c r="Q74" s="1"/>
      <c r="R74">
        <v>1</v>
      </c>
      <c r="S74" t="str">
        <f>$K74</f>
        <v>1.3.1.1.1.1</v>
      </c>
      <c r="Y74" s="1"/>
      <c r="Z74" s="1" t="s">
        <v>63</v>
      </c>
      <c r="AA74" s="1"/>
      <c r="AB74" s="1" t="s">
        <v>63</v>
      </c>
      <c r="AC74">
        <v>32.96</v>
      </c>
      <c r="AF74" s="1">
        <v>45292.528344907405</v>
      </c>
      <c r="AG74" s="1" t="s">
        <v>63</v>
      </c>
      <c r="AH74" s="1">
        <v>45473.528483796297</v>
      </c>
      <c r="AI74" s="1" t="s">
        <v>63</v>
      </c>
      <c r="AJ74">
        <v>42.86</v>
      </c>
      <c r="AM74" s="1">
        <v>45474.528726851851</v>
      </c>
      <c r="AN74" s="1" t="s">
        <v>63</v>
      </c>
      <c r="AO74" s="1">
        <v>45657.528854166667</v>
      </c>
      <c r="AP74" s="1" t="s">
        <v>63</v>
      </c>
      <c r="AQ74">
        <v>42.86</v>
      </c>
      <c r="AT74" s="1">
        <v>45658.529004629629</v>
      </c>
      <c r="AU74" s="1" t="s">
        <v>63</v>
      </c>
      <c r="AV74" s="1">
        <v>45838.529328703706</v>
      </c>
      <c r="AW74" s="1" t="s">
        <v>63</v>
      </c>
      <c r="AX74">
        <v>51.35</v>
      </c>
      <c r="BA74" s="1">
        <v>45839.529606481483</v>
      </c>
      <c r="BB74" s="1" t="s">
        <v>63</v>
      </c>
      <c r="BC74" s="1">
        <v>46022.530104166668</v>
      </c>
      <c r="BD74" s="1" t="s">
        <v>63</v>
      </c>
      <c r="BE74">
        <v>51.35</v>
      </c>
      <c r="BH74" s="1">
        <v>46023.530393518522</v>
      </c>
      <c r="BI74" s="1" t="s">
        <v>63</v>
      </c>
      <c r="BJ74" s="1">
        <v>46203.530752314815</v>
      </c>
      <c r="BK74" s="1" t="s">
        <v>63</v>
      </c>
      <c r="BL74">
        <v>54.43</v>
      </c>
      <c r="BO74" s="1">
        <v>46204.531226851854</v>
      </c>
      <c r="BP74" s="1" t="s">
        <v>63</v>
      </c>
      <c r="BQ74" s="1">
        <v>46387.531493055554</v>
      </c>
      <c r="BR74" s="1" t="s">
        <v>63</v>
      </c>
      <c r="BS74">
        <v>54.43</v>
      </c>
      <c r="BV74" s="1">
        <v>46388.531759259262</v>
      </c>
      <c r="BW74" s="1" t="s">
        <v>63</v>
      </c>
      <c r="BX74" s="1">
        <v>46568.532141203701</v>
      </c>
      <c r="BY74" s="1" t="s">
        <v>63</v>
      </c>
      <c r="BZ74">
        <v>55.51</v>
      </c>
      <c r="CC74" s="1">
        <v>46569.532789351855</v>
      </c>
      <c r="CD74" s="1" t="s">
        <v>63</v>
      </c>
      <c r="CE74" s="1">
        <v>46752.533159722225</v>
      </c>
      <c r="CF74" s="1" t="s">
        <v>63</v>
      </c>
      <c r="CG74">
        <v>55.51</v>
      </c>
      <c r="CJ74" s="1">
        <v>46753.533472222225</v>
      </c>
      <c r="CK74" s="1" t="s">
        <v>63</v>
      </c>
      <c r="CL74" s="1">
        <v>46934.533703703702</v>
      </c>
      <c r="CM74" s="1" t="s">
        <v>63</v>
      </c>
      <c r="CN74">
        <v>58.19</v>
      </c>
      <c r="CQ74" s="1">
        <v>46935.53396990741</v>
      </c>
      <c r="CR74" s="1" t="s">
        <v>63</v>
      </c>
      <c r="CS74" s="1">
        <v>47118.537106481483</v>
      </c>
      <c r="CT74" s="1" t="s">
        <v>63</v>
      </c>
      <c r="CV7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4" t="e">
        <f ca="1">STRCHECKDATE(V75:CU75)</f>
        <v>#NAME?</v>
      </c>
      <c r="CY74" t="str">
        <f t="shared" si="1"/>
        <v/>
      </c>
      <c r="DB74">
        <v>0</v>
      </c>
    </row>
    <row r="75" spans="2:106" ht="14.25" customHeight="1" x14ac:dyDescent="0.15">
      <c r="E75" s="1"/>
      <c r="F75" s="1" t="s">
        <v>105</v>
      </c>
      <c r="G75" s="1"/>
      <c r="H75" s="1"/>
      <c r="I75" s="1"/>
      <c r="J75" s="1"/>
      <c r="K75" s="1"/>
      <c r="P75" s="1"/>
      <c r="Q75" s="1"/>
      <c r="X75" t="str">
        <f>Y74&amp;"-"&amp;AA74</f>
        <v>-</v>
      </c>
      <c r="Y75" s="1"/>
      <c r="Z75" s="1"/>
      <c r="AA75" s="1"/>
      <c r="AB75" s="1"/>
      <c r="AE75" t="str">
        <f>AF74&amp;"-"&amp;AH74</f>
        <v>45292,5283449074-45473,5284837963</v>
      </c>
      <c r="AF75" s="1"/>
      <c r="AG75" s="1"/>
      <c r="AH75" s="1"/>
      <c r="AI75" s="1"/>
      <c r="AL75" t="str">
        <f>AM74&amp;"-"&amp;AO74</f>
        <v>45474,5287268519-45657,5288541667</v>
      </c>
      <c r="AM75" s="1"/>
      <c r="AN75" s="1"/>
      <c r="AO75" s="1"/>
      <c r="AP75" s="1"/>
      <c r="AS75" t="str">
        <f>AT74&amp;"-"&amp;AV74</f>
        <v>45658,5290046296-45838,5293287037</v>
      </c>
      <c r="AT75" s="1"/>
      <c r="AU75" s="1"/>
      <c r="AV75" s="1"/>
      <c r="AW75" s="1"/>
      <c r="AZ75" t="str">
        <f>BA74&amp;"-"&amp;BC74</f>
        <v>45839,5296064815-46022,5301041667</v>
      </c>
      <c r="BA75" s="1"/>
      <c r="BB75" s="1"/>
      <c r="BC75" s="1"/>
      <c r="BD75" s="1"/>
      <c r="BG75" t="str">
        <f>BH74&amp;"-"&amp;BJ74</f>
        <v>46023,5303935185-46203,5307523148</v>
      </c>
      <c r="BH75" s="1"/>
      <c r="BI75" s="1"/>
      <c r="BJ75" s="1"/>
      <c r="BK75" s="1"/>
      <c r="BN75" t="str">
        <f>BO74&amp;"-"&amp;BQ74</f>
        <v>46204,5312268519-46387,5314930556</v>
      </c>
      <c r="BO75" s="1"/>
      <c r="BP75" s="1"/>
      <c r="BQ75" s="1"/>
      <c r="BR75" s="1"/>
      <c r="BU75" t="str">
        <f>BV74&amp;"-"&amp;BX74</f>
        <v>46388,5317592593-46568,5321412037</v>
      </c>
      <c r="BV75" s="1"/>
      <c r="BW75" s="1"/>
      <c r="BX75" s="1"/>
      <c r="BY75" s="1"/>
      <c r="CB75" t="str">
        <f>CC74&amp;"-"&amp;CE74</f>
        <v>46569,5327893519-46752,5331597222</v>
      </c>
      <c r="CC75" s="1"/>
      <c r="CD75" s="1"/>
      <c r="CE75" s="1"/>
      <c r="CF75" s="1"/>
      <c r="CI75" t="str">
        <f>CJ74&amp;"-"&amp;CL74</f>
        <v>46753,5334722222-46934,5337037037</v>
      </c>
      <c r="CJ75" s="1"/>
      <c r="CK75" s="1"/>
      <c r="CL75" s="1"/>
      <c r="CM75" s="1"/>
      <c r="CP75" t="str">
        <f>CQ74&amp;"-"&amp;CS74</f>
        <v>46935,5339699074-47118,5371064815</v>
      </c>
      <c r="CQ75" s="1"/>
      <c r="CR75" s="1"/>
      <c r="CS75" s="1"/>
      <c r="CT75" s="1"/>
      <c r="CV75" s="1"/>
      <c r="CY75" t="str">
        <f t="shared" si="1"/>
        <v/>
      </c>
      <c r="DB75">
        <v>0</v>
      </c>
    </row>
    <row r="76" spans="2:106" ht="21" customHeight="1" x14ac:dyDescent="0.15">
      <c r="E76" s="1"/>
      <c r="F76" s="1" t="s">
        <v>105</v>
      </c>
      <c r="G76" s="1"/>
      <c r="H76" s="1"/>
      <c r="I76" s="1"/>
      <c r="J76" s="1"/>
      <c r="P76" s="1"/>
      <c r="Q76" s="1"/>
      <c r="T76" t="s">
        <v>601</v>
      </c>
      <c r="CV76" t="s">
        <v>602</v>
      </c>
      <c r="CY76" t="str">
        <f t="shared" si="1"/>
        <v>Добавить значение признака дифференциации</v>
      </c>
      <c r="DB76">
        <v>0</v>
      </c>
    </row>
    <row r="77" spans="2:106" ht="23.25" customHeight="1" x14ac:dyDescent="0.15">
      <c r="E77" s="1"/>
      <c r="F77" s="1"/>
      <c r="G77" s="1"/>
      <c r="H77" s="1"/>
      <c r="I77" s="1"/>
      <c r="J77" s="1" t="str">
        <f>I72&amp;".2"</f>
        <v>1.3.1.1.2</v>
      </c>
      <c r="L77" t="s">
        <v>524</v>
      </c>
      <c r="P77" s="1"/>
      <c r="Q77" s="1" t="s">
        <v>106</v>
      </c>
      <c r="S77" t="str">
        <f>$J77</f>
        <v>1.3.1.1.2</v>
      </c>
      <c r="T77" t="s">
        <v>525</v>
      </c>
      <c r="V77" s="1"/>
      <c r="W77" s="1"/>
      <c r="X77" s="1"/>
      <c r="Y77" s="1"/>
      <c r="Z77" s="1"/>
      <c r="AA77" s="1"/>
      <c r="AB77" s="1"/>
      <c r="AC77" s="1" t="s">
        <v>637</v>
      </c>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t="s">
        <v>600</v>
      </c>
      <c r="CY77" t="str">
        <f t="shared" si="1"/>
        <v>Группа потребителей</v>
      </c>
      <c r="DB77">
        <v>0</v>
      </c>
    </row>
    <row r="78" spans="2:106" ht="23.25" customHeight="1" x14ac:dyDescent="0.15">
      <c r="E78" s="1"/>
      <c r="F78" s="1"/>
      <c r="G78" s="1"/>
      <c r="H78" s="1"/>
      <c r="I78" s="1"/>
      <c r="J78" s="1" t="str">
        <f>I72&amp;".1"</f>
        <v>1.3.1.1.1</v>
      </c>
      <c r="K78" s="1" t="str">
        <f>J77&amp;".1"</f>
        <v>1.3.1.1.2.1</v>
      </c>
      <c r="P78" s="1"/>
      <c r="Q78" s="1"/>
      <c r="R78">
        <v>1</v>
      </c>
      <c r="S78" t="str">
        <f>$K78</f>
        <v>1.3.1.1.2.1</v>
      </c>
      <c r="Y78" s="1"/>
      <c r="Z78" s="1" t="s">
        <v>63</v>
      </c>
      <c r="AA78" s="1"/>
      <c r="AB78" s="1" t="s">
        <v>63</v>
      </c>
      <c r="AC78">
        <v>27.47</v>
      </c>
      <c r="AF78" s="1">
        <v>45292.528252314813</v>
      </c>
      <c r="AG78" s="1" t="s">
        <v>63</v>
      </c>
      <c r="AH78" s="1">
        <v>45473.528587962966</v>
      </c>
      <c r="AI78" s="1" t="s">
        <v>63</v>
      </c>
      <c r="AJ78">
        <v>35.72</v>
      </c>
      <c r="AM78" s="1">
        <v>45474.528796296298</v>
      </c>
      <c r="AN78" s="1" t="s">
        <v>63</v>
      </c>
      <c r="AO78" s="1">
        <v>45657.528900462959</v>
      </c>
      <c r="AP78" s="1" t="s">
        <v>63</v>
      </c>
      <c r="AQ78">
        <v>35.72</v>
      </c>
      <c r="AT78" s="1">
        <v>45658.529178240744</v>
      </c>
      <c r="AU78" s="1" t="s">
        <v>63</v>
      </c>
      <c r="AV78" s="1">
        <v>45838.529409722221</v>
      </c>
      <c r="AW78" s="1" t="s">
        <v>63</v>
      </c>
      <c r="AX78">
        <v>42.79</v>
      </c>
      <c r="BA78" s="1">
        <v>45839.53</v>
      </c>
      <c r="BB78" s="1" t="s">
        <v>63</v>
      </c>
      <c r="BC78" s="1">
        <v>46022.530173611114</v>
      </c>
      <c r="BD78" s="1" t="s">
        <v>63</v>
      </c>
      <c r="BE78">
        <v>42.79</v>
      </c>
      <c r="BH78" s="1">
        <v>46023.530532407407</v>
      </c>
      <c r="BI78" s="1" t="s">
        <v>63</v>
      </c>
      <c r="BJ78" s="1">
        <v>46203.530868055554</v>
      </c>
      <c r="BK78" s="1" t="s">
        <v>63</v>
      </c>
      <c r="BL78">
        <v>45.36</v>
      </c>
      <c r="BO78" s="1">
        <v>46204.531365740739</v>
      </c>
      <c r="BP78" s="1" t="s">
        <v>63</v>
      </c>
      <c r="BQ78" s="1">
        <v>46387.531597222223</v>
      </c>
      <c r="BR78" s="1" t="s">
        <v>63</v>
      </c>
      <c r="BS78">
        <v>45.36</v>
      </c>
      <c r="BV78" s="1">
        <v>46388.531886574077</v>
      </c>
      <c r="BW78" s="1" t="s">
        <v>63</v>
      </c>
      <c r="BX78" s="1">
        <v>46568.532395833332</v>
      </c>
      <c r="BY78" s="1" t="s">
        <v>63</v>
      </c>
      <c r="BZ78">
        <v>46.26</v>
      </c>
      <c r="CC78" s="1">
        <v>46569.532951388886</v>
      </c>
      <c r="CD78" s="1" t="s">
        <v>63</v>
      </c>
      <c r="CE78" s="1">
        <v>46752.533263888887</v>
      </c>
      <c r="CF78" s="1" t="s">
        <v>63</v>
      </c>
      <c r="CG78">
        <v>46.26</v>
      </c>
      <c r="CJ78" s="1">
        <v>46753.533576388887</v>
      </c>
      <c r="CK78" s="1" t="s">
        <v>63</v>
      </c>
      <c r="CL78" s="1">
        <v>46934.533761574072</v>
      </c>
      <c r="CM78" s="1" t="s">
        <v>63</v>
      </c>
      <c r="CN78">
        <v>48.49</v>
      </c>
      <c r="CQ78" s="1">
        <v>46935.536874999998</v>
      </c>
      <c r="CR78" s="1" t="s">
        <v>63</v>
      </c>
      <c r="CS78" s="1">
        <v>47118.537291666667</v>
      </c>
      <c r="CT78" s="1" t="s">
        <v>63</v>
      </c>
      <c r="CV7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t="e">
        <f ca="1">STRCHECKDATE(V79:CU79)</f>
        <v>#NAME?</v>
      </c>
      <c r="CY78" t="str">
        <f t="shared" si="1"/>
        <v/>
      </c>
      <c r="DB78">
        <v>0</v>
      </c>
    </row>
    <row r="79" spans="2:106" ht="14.25" customHeight="1" x14ac:dyDescent="0.15">
      <c r="E79" s="1"/>
      <c r="F79" s="1"/>
      <c r="G79" s="1"/>
      <c r="H79" s="1"/>
      <c r="I79" s="1"/>
      <c r="J79" s="1" t="str">
        <f>I72&amp;".1"</f>
        <v>1.3.1.1.1</v>
      </c>
      <c r="K79" s="1"/>
      <c r="P79" s="1"/>
      <c r="Q79" s="1"/>
      <c r="X79" t="str">
        <f>Y78&amp;"-"&amp;AA78</f>
        <v>-</v>
      </c>
      <c r="Y79" s="1"/>
      <c r="Z79" s="1"/>
      <c r="AA79" s="1"/>
      <c r="AB79" s="1"/>
      <c r="AE79" t="str">
        <f>AF78&amp;"-"&amp;AH78</f>
        <v>45292,5282523148-45473,5285879629</v>
      </c>
      <c r="AF79" s="1"/>
      <c r="AG79" s="1"/>
      <c r="AH79" s="1"/>
      <c r="AI79" s="1"/>
      <c r="AL79" t="str">
        <f>AM78&amp;"-"&amp;AO78</f>
        <v>45474,5287962963-45657,528900463</v>
      </c>
      <c r="AM79" s="1"/>
      <c r="AN79" s="1"/>
      <c r="AO79" s="1"/>
      <c r="AP79" s="1"/>
      <c r="AS79" t="str">
        <f>AT78&amp;"-"&amp;AV78</f>
        <v>45658,5291782407-45838,5294097222</v>
      </c>
      <c r="AT79" s="1"/>
      <c r="AU79" s="1"/>
      <c r="AV79" s="1"/>
      <c r="AW79" s="1"/>
      <c r="AZ79" t="str">
        <f>BA78&amp;"-"&amp;BC78</f>
        <v>45839,53-46022,5301736111</v>
      </c>
      <c r="BA79" s="1"/>
      <c r="BB79" s="1"/>
      <c r="BC79" s="1"/>
      <c r="BD79" s="1"/>
      <c r="BG79" t="str">
        <f>BH78&amp;"-"&amp;BJ78</f>
        <v>46023,5305324074-46203,5308680556</v>
      </c>
      <c r="BH79" s="1"/>
      <c r="BI79" s="1"/>
      <c r="BJ79" s="1"/>
      <c r="BK79" s="1"/>
      <c r="BN79" t="str">
        <f>BO78&amp;"-"&amp;BQ78</f>
        <v>46204,5313657407-46387,5315972222</v>
      </c>
      <c r="BO79" s="1"/>
      <c r="BP79" s="1"/>
      <c r="BQ79" s="1"/>
      <c r="BR79" s="1"/>
      <c r="BU79" t="str">
        <f>BV78&amp;"-"&amp;BX78</f>
        <v>46388,5318865741-46568,5323958333</v>
      </c>
      <c r="BV79" s="1"/>
      <c r="BW79" s="1"/>
      <c r="BX79" s="1"/>
      <c r="BY79" s="1"/>
      <c r="CB79" t="str">
        <f>CC78&amp;"-"&amp;CE78</f>
        <v>46569,5329513889-46752,5332638889</v>
      </c>
      <c r="CC79" s="1"/>
      <c r="CD79" s="1"/>
      <c r="CE79" s="1"/>
      <c r="CF79" s="1"/>
      <c r="CI79" t="str">
        <f>CJ78&amp;"-"&amp;CL78</f>
        <v>46753,5335763889-46934,5337615741</v>
      </c>
      <c r="CJ79" s="1"/>
      <c r="CK79" s="1"/>
      <c r="CL79" s="1"/>
      <c r="CM79" s="1"/>
      <c r="CP79" t="str">
        <f>CQ78&amp;"-"&amp;CS78</f>
        <v>46935,536875-47118,5372916667</v>
      </c>
      <c r="CQ79" s="1"/>
      <c r="CR79" s="1"/>
      <c r="CS79" s="1"/>
      <c r="CT79" s="1"/>
      <c r="CV79" s="1"/>
      <c r="CY79" t="str">
        <f t="shared" si="1"/>
        <v/>
      </c>
      <c r="DB79">
        <v>0</v>
      </c>
    </row>
    <row r="80" spans="2:106" ht="21" customHeight="1" x14ac:dyDescent="0.15">
      <c r="E80" s="1"/>
      <c r="F80" s="1"/>
      <c r="G80" s="1"/>
      <c r="H80" s="1"/>
      <c r="I80" s="1"/>
      <c r="J80" s="1" t="str">
        <f>I72&amp;".1"</f>
        <v>1.3.1.1.1</v>
      </c>
      <c r="P80" s="1"/>
      <c r="Q80" s="1"/>
      <c r="T80" t="s">
        <v>601</v>
      </c>
      <c r="CV80" t="s">
        <v>602</v>
      </c>
      <c r="CY80" t="str">
        <f t="shared" si="1"/>
        <v>Добавить значение признака дифференциации</v>
      </c>
      <c r="DB80">
        <v>0</v>
      </c>
    </row>
    <row r="81" spans="2:106" ht="21" customHeight="1" x14ac:dyDescent="0.15">
      <c r="E81" s="1"/>
      <c r="F81" s="1" t="s">
        <v>105</v>
      </c>
      <c r="G81" s="1"/>
      <c r="H81" s="1"/>
      <c r="I81" s="1"/>
      <c r="P81" s="1"/>
      <c r="T81" t="s">
        <v>530</v>
      </c>
      <c r="CY81" t="str">
        <f t="shared" si="1"/>
        <v>Добавить группу потребителей</v>
      </c>
      <c r="DB81">
        <v>0</v>
      </c>
    </row>
    <row r="82" spans="2:106" ht="21" customHeight="1" x14ac:dyDescent="0.15">
      <c r="E82" s="1"/>
      <c r="F82" s="1" t="s">
        <v>105</v>
      </c>
      <c r="G82" s="1"/>
      <c r="H82" s="1"/>
      <c r="T82" t="s">
        <v>603</v>
      </c>
      <c r="CY82" t="str">
        <f t="shared" si="1"/>
        <v>Добавить наименование признака дифференциации</v>
      </c>
      <c r="DB82">
        <v>0</v>
      </c>
    </row>
    <row r="83" spans="2:106" ht="14.25" customHeight="1" x14ac:dyDescent="0.15">
      <c r="E83" s="1"/>
      <c r="F83" s="1" t="s">
        <v>105</v>
      </c>
      <c r="T83" t="s">
        <v>321</v>
      </c>
      <c r="CY83" t="str">
        <f t="shared" si="1"/>
        <v>Добавить централизованную систему для дифференциации</v>
      </c>
      <c r="DB83">
        <v>0</v>
      </c>
    </row>
    <row r="84" spans="2:106" ht="23.25" customHeight="1" x14ac:dyDescent="0.15">
      <c r="B84" t="s">
        <v>331</v>
      </c>
      <c r="E84" s="1"/>
      <c r="F84" s="1" t="s">
        <v>93</v>
      </c>
      <c r="S84" t="str">
        <f>INDEX(PT_DIFFERENTIATION_NUM_TER,MATCH(B84,PT_DIFFERENTIATION_TER_ID,0))</f>
        <v>1.4</v>
      </c>
      <c r="T84" t="s">
        <v>515</v>
      </c>
      <c r="V84" s="1"/>
      <c r="W84" s="1"/>
      <c r="X84" s="1"/>
      <c r="Y84" s="1"/>
      <c r="Z84" s="1"/>
      <c r="AA84" s="1"/>
      <c r="AB84" s="1"/>
      <c r="AC84" s="1" t="str">
        <f>INDEX(PT_DIFFERENTIATION_TER,MATCH(B84,PT_DIFFERENTIATION_TER_ID,0))</f>
        <v>Территория 4</v>
      </c>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t="s">
        <v>516</v>
      </c>
      <c r="CY84" t="str">
        <f t="shared" si="1"/>
        <v>Территория действия тарифа</v>
      </c>
      <c r="DB84">
        <v>0</v>
      </c>
    </row>
    <row r="85" spans="2:106" ht="23.25" customHeight="1" x14ac:dyDescent="0.15">
      <c r="C85" t="s">
        <v>332</v>
      </c>
      <c r="E85" s="1"/>
      <c r="F85" s="1" t="s">
        <v>92</v>
      </c>
      <c r="G85" s="1">
        <v>1</v>
      </c>
      <c r="S85" t="str">
        <f>INDEX(PT_DIFFERENTIATION_NUM_CS,MATCH(C85,PT_DIFFERENTIATION_CS_ID,0))</f>
        <v>1.4.1</v>
      </c>
      <c r="T85" t="s">
        <v>631</v>
      </c>
      <c r="V85" s="1"/>
      <c r="W85" s="1"/>
      <c r="X85" s="1"/>
      <c r="Y85" s="1"/>
      <c r="Z85" s="1"/>
      <c r="AA85" s="1"/>
      <c r="AB85" s="1"/>
      <c r="AC85" s="1" t="str">
        <f>INDEX(PT_DIFFERENTIATION_CS,MATCH(C85,PT_DIFFERENTIATION_CS_ID,0))</f>
        <v>с. Барабаш, с. Занадворовка</v>
      </c>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t="s">
        <v>632</v>
      </c>
      <c r="CY85" t="str">
        <f t="shared" si="1"/>
        <v>Наименование централизованной системы водоотведения</v>
      </c>
      <c r="DB85">
        <v>0</v>
      </c>
    </row>
    <row r="86" spans="2:106" ht="23.25" customHeight="1" x14ac:dyDescent="0.15">
      <c r="E86" s="1"/>
      <c r="F86" s="1" t="s">
        <v>92</v>
      </c>
      <c r="G86" s="1"/>
      <c r="H86" s="1"/>
      <c r="I86" s="1" t="str">
        <f>S85&amp;".1"</f>
        <v>1.4.1.1</v>
      </c>
      <c r="P86" s="1">
        <v>1</v>
      </c>
      <c r="S86" t="str">
        <f>$I86</f>
        <v>1.4.1.1</v>
      </c>
      <c r="T86" t="s">
        <v>598</v>
      </c>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t="s">
        <v>599</v>
      </c>
      <c r="CY86" t="str">
        <f t="shared" si="1"/>
        <v>Наименование признака дифференциации</v>
      </c>
      <c r="DB86">
        <v>0</v>
      </c>
    </row>
    <row r="87" spans="2:106" ht="23.25" customHeight="1" x14ac:dyDescent="0.15">
      <c r="E87" s="1"/>
      <c r="F87" s="1" t="s">
        <v>92</v>
      </c>
      <c r="G87" s="1"/>
      <c r="H87" s="1"/>
      <c r="I87" s="1"/>
      <c r="J87" s="1" t="str">
        <f>I86&amp;".1"</f>
        <v>1.4.1.1.1</v>
      </c>
      <c r="L87" t="s">
        <v>524</v>
      </c>
      <c r="P87" s="1"/>
      <c r="Q87" s="1">
        <v>1</v>
      </c>
      <c r="S87" t="str">
        <f>$J87</f>
        <v>1.4.1.1.1</v>
      </c>
      <c r="T87" t="s">
        <v>525</v>
      </c>
      <c r="V87" s="1"/>
      <c r="W87" s="1"/>
      <c r="X87" s="1"/>
      <c r="Y87" s="1"/>
      <c r="Z87" s="1"/>
      <c r="AA87" s="1"/>
      <c r="AB87" s="1"/>
      <c r="AC87" s="1" t="s">
        <v>636</v>
      </c>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t="s">
        <v>600</v>
      </c>
      <c r="CY87" t="str">
        <f t="shared" si="1"/>
        <v>Группа потребителей</v>
      </c>
      <c r="DB87">
        <v>0</v>
      </c>
    </row>
    <row r="88" spans="2:106" ht="23.25" customHeight="1" x14ac:dyDescent="0.15">
      <c r="E88" s="1"/>
      <c r="F88" s="1" t="s">
        <v>92</v>
      </c>
      <c r="G88" s="1"/>
      <c r="H88" s="1"/>
      <c r="I88" s="1"/>
      <c r="J88" s="1"/>
      <c r="K88" s="1" t="str">
        <f>J87&amp;".1"</f>
        <v>1.4.1.1.1.1</v>
      </c>
      <c r="P88" s="1"/>
      <c r="Q88" s="1"/>
      <c r="R88">
        <v>1</v>
      </c>
      <c r="S88" t="str">
        <f>$K88</f>
        <v>1.4.1.1.1.1</v>
      </c>
      <c r="Y88" s="1"/>
      <c r="Z88" s="1" t="s">
        <v>63</v>
      </c>
      <c r="AA88" s="1"/>
      <c r="AB88" s="1" t="s">
        <v>63</v>
      </c>
      <c r="AC88">
        <v>13.14</v>
      </c>
      <c r="AF88" s="1">
        <v>45292.593715277777</v>
      </c>
      <c r="AG88" s="1" t="s">
        <v>63</v>
      </c>
      <c r="AH88" s="1">
        <v>45473.593935185185</v>
      </c>
      <c r="AI88" s="1" t="s">
        <v>63</v>
      </c>
      <c r="AJ88">
        <v>17.09</v>
      </c>
      <c r="AM88" s="1">
        <v>45474.594097222223</v>
      </c>
      <c r="AN88" s="1" t="s">
        <v>63</v>
      </c>
      <c r="AO88" s="1">
        <v>45657.594224537039</v>
      </c>
      <c r="AP88" s="1" t="s">
        <v>63</v>
      </c>
      <c r="AQ88">
        <v>17.09</v>
      </c>
      <c r="AT88" s="1">
        <v>45658.594398148147</v>
      </c>
      <c r="AU88" s="1" t="s">
        <v>63</v>
      </c>
      <c r="AV88" s="1">
        <v>45838.59447916667</v>
      </c>
      <c r="AW88" s="1" t="s">
        <v>63</v>
      </c>
      <c r="AX88">
        <v>21.36</v>
      </c>
      <c r="BA88" s="1">
        <v>45839.595011574071</v>
      </c>
      <c r="BB88" s="1" t="s">
        <v>63</v>
      </c>
      <c r="BC88" s="1">
        <v>46022.59516203704</v>
      </c>
      <c r="BD88" s="1" t="s">
        <v>63</v>
      </c>
      <c r="BE88">
        <v>21.36</v>
      </c>
      <c r="BH88" s="1">
        <v>46023.595462962963</v>
      </c>
      <c r="BI88" s="1" t="s">
        <v>63</v>
      </c>
      <c r="BJ88" s="1">
        <v>46203.595891203702</v>
      </c>
      <c r="BK88" s="1" t="s">
        <v>63</v>
      </c>
      <c r="BL88">
        <v>22.21</v>
      </c>
      <c r="BO88" s="1">
        <v>46204.596238425926</v>
      </c>
      <c r="BP88" s="1" t="s">
        <v>63</v>
      </c>
      <c r="BQ88" s="1">
        <v>46387.596539351849</v>
      </c>
      <c r="BR88" s="1" t="s">
        <v>63</v>
      </c>
      <c r="BS88">
        <v>22.21</v>
      </c>
      <c r="BV88" s="1">
        <v>46388.596944444442</v>
      </c>
      <c r="BW88" s="1" t="s">
        <v>63</v>
      </c>
      <c r="BX88" s="1">
        <v>46568.59716435185</v>
      </c>
      <c r="BY88" s="1" t="s">
        <v>63</v>
      </c>
      <c r="BZ88">
        <v>22.44</v>
      </c>
      <c r="CC88" s="1">
        <v>46569.597407407404</v>
      </c>
      <c r="CD88" s="1" t="s">
        <v>63</v>
      </c>
      <c r="CE88" s="1">
        <v>46752.597627314812</v>
      </c>
      <c r="CF88" s="1" t="s">
        <v>63</v>
      </c>
      <c r="CG88">
        <v>22.43</v>
      </c>
      <c r="CJ88" s="1">
        <v>46753.597881944443</v>
      </c>
      <c r="CK88" s="1" t="s">
        <v>63</v>
      </c>
      <c r="CL88" s="1">
        <v>46934.598078703704</v>
      </c>
      <c r="CM88" s="1" t="s">
        <v>63</v>
      </c>
      <c r="CN88">
        <v>22.43</v>
      </c>
      <c r="CQ88" s="1">
        <v>46935.598668981482</v>
      </c>
      <c r="CR88" s="1" t="s">
        <v>63</v>
      </c>
      <c r="CS88" s="1">
        <v>47118.598923611113</v>
      </c>
      <c r="CT88" s="1" t="s">
        <v>63</v>
      </c>
      <c r="CV8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8" t="e">
        <f ca="1">STRCHECKDATE(V89:CU89)</f>
        <v>#NAME?</v>
      </c>
      <c r="CY88" t="str">
        <f t="shared" si="1"/>
        <v/>
      </c>
      <c r="DB88">
        <v>0</v>
      </c>
    </row>
    <row r="89" spans="2:106" ht="14.25" customHeight="1" x14ac:dyDescent="0.15">
      <c r="E89" s="1"/>
      <c r="F89" s="1" t="s">
        <v>92</v>
      </c>
      <c r="G89" s="1"/>
      <c r="H89" s="1"/>
      <c r="I89" s="1"/>
      <c r="J89" s="1"/>
      <c r="K89" s="1"/>
      <c r="P89" s="1"/>
      <c r="Q89" s="1"/>
      <c r="X89" t="str">
        <f>Y88&amp;"-"&amp;AA88</f>
        <v>-</v>
      </c>
      <c r="Y89" s="1"/>
      <c r="Z89" s="1"/>
      <c r="AA89" s="1"/>
      <c r="AB89" s="1"/>
      <c r="AE89" t="str">
        <f>AF88&amp;"-"&amp;AH88</f>
        <v>45292,5937152778-45473,5939351852</v>
      </c>
      <c r="AF89" s="1"/>
      <c r="AG89" s="1"/>
      <c r="AH89" s="1"/>
      <c r="AI89" s="1"/>
      <c r="AL89" t="str">
        <f>AM88&amp;"-"&amp;AO88</f>
        <v>45474,5940972222-45657,594224537</v>
      </c>
      <c r="AM89" s="1"/>
      <c r="AN89" s="1"/>
      <c r="AO89" s="1"/>
      <c r="AP89" s="1"/>
      <c r="AS89" t="str">
        <f>AT88&amp;"-"&amp;AV88</f>
        <v>45658,5943981481-45838,5944791666</v>
      </c>
      <c r="AT89" s="1"/>
      <c r="AU89" s="1"/>
      <c r="AV89" s="1"/>
      <c r="AW89" s="1"/>
      <c r="AZ89" t="str">
        <f>BA88&amp;"-"&amp;BC88</f>
        <v>45839,5950115741-46022,595162037</v>
      </c>
      <c r="BA89" s="1"/>
      <c r="BB89" s="1"/>
      <c r="BC89" s="1"/>
      <c r="BD89" s="1"/>
      <c r="BG89" t="str">
        <f>BH88&amp;"-"&amp;BJ88</f>
        <v>46023,595462963-46203,5958912037</v>
      </c>
      <c r="BH89" s="1"/>
      <c r="BI89" s="1"/>
      <c r="BJ89" s="1"/>
      <c r="BK89" s="1"/>
      <c r="BN89" t="str">
        <f>BO88&amp;"-"&amp;BQ88</f>
        <v>46204,5962384259-46387,5965393518</v>
      </c>
      <c r="BO89" s="1"/>
      <c r="BP89" s="1"/>
      <c r="BQ89" s="1"/>
      <c r="BR89" s="1"/>
      <c r="BU89" t="str">
        <f>BV88&amp;"-"&amp;BX88</f>
        <v>46388,5969444444-46568,5971643518</v>
      </c>
      <c r="BV89" s="1"/>
      <c r="BW89" s="1"/>
      <c r="BX89" s="1"/>
      <c r="BY89" s="1"/>
      <c r="CB89" t="str">
        <f>CC88&amp;"-"&amp;CE88</f>
        <v>46569,5974074074-46752,5976273148</v>
      </c>
      <c r="CC89" s="1"/>
      <c r="CD89" s="1"/>
      <c r="CE89" s="1"/>
      <c r="CF89" s="1"/>
      <c r="CI89" t="str">
        <f>CJ88&amp;"-"&amp;CL88</f>
        <v>46753,5978819444-46934,5980787037</v>
      </c>
      <c r="CJ89" s="1"/>
      <c r="CK89" s="1"/>
      <c r="CL89" s="1"/>
      <c r="CM89" s="1"/>
      <c r="CP89" t="str">
        <f>CQ88&amp;"-"&amp;CS88</f>
        <v>46935,5986689815-47118,5989236111</v>
      </c>
      <c r="CQ89" s="1"/>
      <c r="CR89" s="1"/>
      <c r="CS89" s="1"/>
      <c r="CT89" s="1"/>
      <c r="CV89" s="1"/>
      <c r="CY89" t="str">
        <f t="shared" si="1"/>
        <v/>
      </c>
      <c r="DB89">
        <v>0</v>
      </c>
    </row>
    <row r="90" spans="2:106" ht="21" customHeight="1" x14ac:dyDescent="0.15">
      <c r="E90" s="1"/>
      <c r="F90" s="1" t="s">
        <v>92</v>
      </c>
      <c r="G90" s="1"/>
      <c r="H90" s="1"/>
      <c r="I90" s="1"/>
      <c r="J90" s="1"/>
      <c r="P90" s="1"/>
      <c r="Q90" s="1"/>
      <c r="T90" t="s">
        <v>601</v>
      </c>
      <c r="CV90" t="s">
        <v>602</v>
      </c>
      <c r="CY90" t="str">
        <f t="shared" si="1"/>
        <v>Добавить значение признака дифференциации</v>
      </c>
      <c r="DB90">
        <v>0</v>
      </c>
    </row>
    <row r="91" spans="2:106" ht="23.25" customHeight="1" x14ac:dyDescent="0.15">
      <c r="E91" s="1"/>
      <c r="F91" s="1"/>
      <c r="G91" s="1"/>
      <c r="H91" s="1"/>
      <c r="I91" s="1"/>
      <c r="J91" s="1" t="str">
        <f>I86&amp;".2"</f>
        <v>1.4.1.1.2</v>
      </c>
      <c r="L91" t="s">
        <v>524</v>
      </c>
      <c r="P91" s="1"/>
      <c r="Q91" s="1" t="s">
        <v>106</v>
      </c>
      <c r="S91" t="str">
        <f>$J91</f>
        <v>1.4.1.1.2</v>
      </c>
      <c r="T91" t="s">
        <v>525</v>
      </c>
      <c r="V91" s="1"/>
      <c r="W91" s="1"/>
      <c r="X91" s="1"/>
      <c r="Y91" s="1"/>
      <c r="Z91" s="1"/>
      <c r="AA91" s="1"/>
      <c r="AB91" s="1"/>
      <c r="AC91" s="1" t="s">
        <v>637</v>
      </c>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t="s">
        <v>600</v>
      </c>
      <c r="CY91" t="str">
        <f t="shared" si="1"/>
        <v>Группа потребителей</v>
      </c>
      <c r="DB91">
        <v>0</v>
      </c>
    </row>
    <row r="92" spans="2:106" ht="23.25" customHeight="1" x14ac:dyDescent="0.15">
      <c r="E92" s="1"/>
      <c r="F92" s="1"/>
      <c r="G92" s="1"/>
      <c r="H92" s="1"/>
      <c r="I92" s="1"/>
      <c r="J92" s="1" t="str">
        <f>I86&amp;".1"</f>
        <v>1.4.1.1.1</v>
      </c>
      <c r="K92" s="1" t="str">
        <f>J91&amp;".1"</f>
        <v>1.4.1.1.2.1</v>
      </c>
      <c r="P92" s="1"/>
      <c r="Q92" s="1"/>
      <c r="R92">
        <v>1</v>
      </c>
      <c r="S92" t="str">
        <f>$K92</f>
        <v>1.4.1.1.2.1</v>
      </c>
      <c r="Y92" s="1"/>
      <c r="Z92" s="1" t="s">
        <v>63</v>
      </c>
      <c r="AA92" s="1"/>
      <c r="AB92" s="1" t="s">
        <v>63</v>
      </c>
      <c r="AC92">
        <v>10.95</v>
      </c>
      <c r="AF92" s="1">
        <v>45292.593819444446</v>
      </c>
      <c r="AG92" s="1" t="s">
        <v>63</v>
      </c>
      <c r="AH92" s="1">
        <v>45473.594027777777</v>
      </c>
      <c r="AI92" s="1" t="s">
        <v>63</v>
      </c>
      <c r="AJ92">
        <v>14.24</v>
      </c>
      <c r="AM92" s="1">
        <v>45474.594155092593</v>
      </c>
      <c r="AN92" s="1" t="s">
        <v>63</v>
      </c>
      <c r="AO92" s="1">
        <v>45657.594270833331</v>
      </c>
      <c r="AP92" s="1" t="s">
        <v>63</v>
      </c>
      <c r="AQ92">
        <v>14.24</v>
      </c>
      <c r="AT92" s="1">
        <v>45658.59443287037</v>
      </c>
      <c r="AU92" s="1" t="s">
        <v>63</v>
      </c>
      <c r="AV92" s="1">
        <v>46203.594571759262</v>
      </c>
      <c r="AW92" s="1" t="s">
        <v>63</v>
      </c>
      <c r="AX92">
        <v>17.8</v>
      </c>
      <c r="BA92" s="1">
        <v>45839.595081018517</v>
      </c>
      <c r="BB92" s="1" t="s">
        <v>63</v>
      </c>
      <c r="BC92" s="1">
        <v>46022.595266203702</v>
      </c>
      <c r="BD92" s="1" t="s">
        <v>63</v>
      </c>
      <c r="BE92">
        <v>17.8</v>
      </c>
      <c r="BH92" s="1">
        <v>46023.595590277779</v>
      </c>
      <c r="BI92" s="1" t="s">
        <v>63</v>
      </c>
      <c r="BJ92" s="1">
        <v>46203.596087962964</v>
      </c>
      <c r="BK92" s="1" t="s">
        <v>63</v>
      </c>
      <c r="BL92">
        <v>18.510000000000002</v>
      </c>
      <c r="BO92" s="1">
        <v>46204.596435185187</v>
      </c>
      <c r="BP92" s="1" t="s">
        <v>63</v>
      </c>
      <c r="BQ92" s="1">
        <v>46387.596747685187</v>
      </c>
      <c r="BR92" s="1" t="s">
        <v>63</v>
      </c>
      <c r="BS92">
        <v>18.510000000000002</v>
      </c>
      <c r="BV92" s="1">
        <v>46388.597083333334</v>
      </c>
      <c r="BW92" s="1" t="s">
        <v>63</v>
      </c>
      <c r="BX92" s="1">
        <v>46568.597303240742</v>
      </c>
      <c r="BY92" s="1" t="s">
        <v>63</v>
      </c>
      <c r="BZ92">
        <v>18.7</v>
      </c>
      <c r="CC92" s="1">
        <v>46569.597511574073</v>
      </c>
      <c r="CD92" s="1" t="s">
        <v>63</v>
      </c>
      <c r="CE92" s="1">
        <v>46752.597708333335</v>
      </c>
      <c r="CF92" s="1" t="s">
        <v>63</v>
      </c>
      <c r="CG92">
        <v>18.690000000000001</v>
      </c>
      <c r="CJ92" s="1">
        <v>46753.597997685189</v>
      </c>
      <c r="CK92" s="1" t="s">
        <v>63</v>
      </c>
      <c r="CL92" s="1">
        <v>46934.598495370374</v>
      </c>
      <c r="CM92" s="1" t="s">
        <v>63</v>
      </c>
      <c r="CN92">
        <v>18.690000000000001</v>
      </c>
      <c r="CQ92" s="1">
        <v>46935.598807870374</v>
      </c>
      <c r="CR92" s="1" t="s">
        <v>63</v>
      </c>
      <c r="CS92" s="1">
        <v>47118.599004629628</v>
      </c>
      <c r="CT92" s="1" t="s">
        <v>63</v>
      </c>
      <c r="CV9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2" t="e">
        <f ca="1">STRCHECKDATE(V93:CU93)</f>
        <v>#NAME?</v>
      </c>
      <c r="CY92" t="str">
        <f t="shared" si="1"/>
        <v/>
      </c>
      <c r="DB92">
        <v>0</v>
      </c>
    </row>
    <row r="93" spans="2:106" ht="14.25" customHeight="1" x14ac:dyDescent="0.15">
      <c r="E93" s="1"/>
      <c r="F93" s="1"/>
      <c r="G93" s="1"/>
      <c r="H93" s="1"/>
      <c r="I93" s="1"/>
      <c r="J93" s="1" t="str">
        <f>I86&amp;".1"</f>
        <v>1.4.1.1.1</v>
      </c>
      <c r="K93" s="1"/>
      <c r="P93" s="1"/>
      <c r="Q93" s="1"/>
      <c r="X93" t="str">
        <f>Y92&amp;"-"&amp;AA92</f>
        <v>-</v>
      </c>
      <c r="Y93" s="1"/>
      <c r="Z93" s="1"/>
      <c r="AA93" s="1"/>
      <c r="AB93" s="1"/>
      <c r="AE93" t="str">
        <f>AF92&amp;"-"&amp;AH92</f>
        <v>45292,5938194444-45473,5940277778</v>
      </c>
      <c r="AF93" s="1"/>
      <c r="AG93" s="1"/>
      <c r="AH93" s="1"/>
      <c r="AI93" s="1"/>
      <c r="AL93" t="str">
        <f>AM92&amp;"-"&amp;AO92</f>
        <v>45474,5941550926-45657,5942708333</v>
      </c>
      <c r="AM93" s="1"/>
      <c r="AN93" s="1"/>
      <c r="AO93" s="1"/>
      <c r="AP93" s="1"/>
      <c r="AS93" t="str">
        <f>AT92&amp;"-"&amp;AV92</f>
        <v>45658,5944328704-46203,5945717593</v>
      </c>
      <c r="AT93" s="1"/>
      <c r="AU93" s="1"/>
      <c r="AV93" s="1"/>
      <c r="AW93" s="1"/>
      <c r="AZ93" t="str">
        <f>BA92&amp;"-"&amp;BC92</f>
        <v>45839,5950810185-46022,5952662037</v>
      </c>
      <c r="BA93" s="1"/>
      <c r="BB93" s="1"/>
      <c r="BC93" s="1"/>
      <c r="BD93" s="1"/>
      <c r="BG93" t="str">
        <f>BH92&amp;"-"&amp;BJ92</f>
        <v>46023,5955902778-46203,596087963</v>
      </c>
      <c r="BH93" s="1"/>
      <c r="BI93" s="1"/>
      <c r="BJ93" s="1"/>
      <c r="BK93" s="1"/>
      <c r="BN93" t="str">
        <f>BO92&amp;"-"&amp;BQ92</f>
        <v>46204,5964351852-46387,5967476852</v>
      </c>
      <c r="BO93" s="1"/>
      <c r="BP93" s="1"/>
      <c r="BQ93" s="1"/>
      <c r="BR93" s="1"/>
      <c r="BU93" t="str">
        <f>BV92&amp;"-"&amp;BX92</f>
        <v>46388,5970833333-46568,5973032407</v>
      </c>
      <c r="BV93" s="1"/>
      <c r="BW93" s="1"/>
      <c r="BX93" s="1"/>
      <c r="BY93" s="1"/>
      <c r="CB93" t="str">
        <f>CC92&amp;"-"&amp;CE92</f>
        <v>46569,5975115741-46752,5977083333</v>
      </c>
      <c r="CC93" s="1"/>
      <c r="CD93" s="1"/>
      <c r="CE93" s="1"/>
      <c r="CF93" s="1"/>
      <c r="CI93" t="str">
        <f>CJ92&amp;"-"&amp;CL92</f>
        <v>46753,5979976852-46934,5984953704</v>
      </c>
      <c r="CJ93" s="1"/>
      <c r="CK93" s="1"/>
      <c r="CL93" s="1"/>
      <c r="CM93" s="1"/>
      <c r="CP93" t="str">
        <f>CQ92&amp;"-"&amp;CS92</f>
        <v>46935,5988078704-47118,5990046296</v>
      </c>
      <c r="CQ93" s="1"/>
      <c r="CR93" s="1"/>
      <c r="CS93" s="1"/>
      <c r="CT93" s="1"/>
      <c r="CV93" s="1"/>
      <c r="CY93" t="str">
        <f t="shared" si="1"/>
        <v/>
      </c>
      <c r="DB93">
        <v>0</v>
      </c>
    </row>
    <row r="94" spans="2:106" ht="21" customHeight="1" x14ac:dyDescent="0.15">
      <c r="E94" s="1"/>
      <c r="F94" s="1"/>
      <c r="G94" s="1"/>
      <c r="H94" s="1"/>
      <c r="I94" s="1"/>
      <c r="J94" s="1" t="str">
        <f>I86&amp;".1"</f>
        <v>1.4.1.1.1</v>
      </c>
      <c r="P94" s="1"/>
      <c r="Q94" s="1"/>
      <c r="T94" t="s">
        <v>601</v>
      </c>
      <c r="CV94" t="s">
        <v>602</v>
      </c>
      <c r="CY94" t="str">
        <f t="shared" si="1"/>
        <v>Добавить значение признака дифференциации</v>
      </c>
      <c r="DB94">
        <v>0</v>
      </c>
    </row>
    <row r="95" spans="2:106" ht="21" customHeight="1" x14ac:dyDescent="0.15">
      <c r="E95" s="1"/>
      <c r="F95" s="1" t="s">
        <v>92</v>
      </c>
      <c r="G95" s="1"/>
      <c r="H95" s="1"/>
      <c r="I95" s="1"/>
      <c r="P95" s="1"/>
      <c r="T95" t="s">
        <v>530</v>
      </c>
      <c r="CY95" t="str">
        <f t="shared" si="1"/>
        <v>Добавить группу потребителей</v>
      </c>
      <c r="DB95">
        <v>0</v>
      </c>
    </row>
    <row r="96" spans="2:106" ht="21" customHeight="1" x14ac:dyDescent="0.15">
      <c r="E96" s="1"/>
      <c r="F96" s="1" t="s">
        <v>92</v>
      </c>
      <c r="G96" s="1"/>
      <c r="H96" s="1"/>
      <c r="T96" t="s">
        <v>603</v>
      </c>
      <c r="CY96" t="str">
        <f t="shared" si="1"/>
        <v>Добавить наименование признака дифференциации</v>
      </c>
      <c r="DB96">
        <v>0</v>
      </c>
    </row>
    <row r="97" spans="3:106" ht="23.25" customHeight="1" x14ac:dyDescent="0.15">
      <c r="C97" t="s">
        <v>335</v>
      </c>
      <c r="E97" s="1"/>
      <c r="F97" s="1"/>
      <c r="G97" s="1" t="s">
        <v>105</v>
      </c>
      <c r="S97" t="str">
        <f>INDEX(PT_DIFFERENTIATION_NUM_CS,MATCH(C97,PT_DIFFERENTIATION_CS_ID,0))</f>
        <v>1.4.2</v>
      </c>
      <c r="T97" t="s">
        <v>631</v>
      </c>
      <c r="V97" s="1"/>
      <c r="W97" s="1"/>
      <c r="X97" s="1"/>
      <c r="Y97" s="1"/>
      <c r="Z97" s="1"/>
      <c r="AA97" s="1"/>
      <c r="AB97" s="1"/>
      <c r="AC97" s="1" t="str">
        <f>INDEX(PT_DIFFERENTIATION_CS,MATCH(C97,PT_DIFFERENTIATION_CS_ID,0))</f>
        <v>с. Безверхово, с. Перевозная</v>
      </c>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t="s">
        <v>632</v>
      </c>
      <c r="CY97" t="str">
        <f t="shared" si="1"/>
        <v>Наименование централизованной системы водоотведения</v>
      </c>
      <c r="DB97">
        <v>0</v>
      </c>
    </row>
    <row r="98" spans="3:106" ht="23.25" customHeight="1" x14ac:dyDescent="0.15">
      <c r="E98" s="1"/>
      <c r="F98" s="1"/>
      <c r="G98" s="1">
        <v>1</v>
      </c>
      <c r="H98" s="1"/>
      <c r="I98" s="1" t="str">
        <f>S97&amp;".1"</f>
        <v>1.4.2.1</v>
      </c>
      <c r="P98" s="1">
        <v>1</v>
      </c>
      <c r="S98" t="str">
        <f>$I98</f>
        <v>1.4.2.1</v>
      </c>
      <c r="T98" t="s">
        <v>598</v>
      </c>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t="s">
        <v>599</v>
      </c>
      <c r="CY98" t="str">
        <f t="shared" si="1"/>
        <v>Наименование признака дифференциации</v>
      </c>
      <c r="DB98">
        <v>0</v>
      </c>
    </row>
    <row r="99" spans="3:106" ht="23.25" customHeight="1" x14ac:dyDescent="0.15">
      <c r="E99" s="1"/>
      <c r="F99" s="1"/>
      <c r="G99" s="1">
        <v>1</v>
      </c>
      <c r="H99" s="1"/>
      <c r="I99" s="1"/>
      <c r="J99" s="1" t="str">
        <f>I98&amp;".1"</f>
        <v>1.4.2.1.1</v>
      </c>
      <c r="L99" t="s">
        <v>524</v>
      </c>
      <c r="P99" s="1"/>
      <c r="Q99" s="1">
        <v>1</v>
      </c>
      <c r="S99" t="str">
        <f>$J99</f>
        <v>1.4.2.1.1</v>
      </c>
      <c r="T99" t="s">
        <v>525</v>
      </c>
      <c r="V99" s="1"/>
      <c r="W99" s="1"/>
      <c r="X99" s="1"/>
      <c r="Y99" s="1"/>
      <c r="Z99" s="1"/>
      <c r="AA99" s="1"/>
      <c r="AB99" s="1"/>
      <c r="AC99" s="1" t="s">
        <v>636</v>
      </c>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t="s">
        <v>600</v>
      </c>
      <c r="CY99" t="str">
        <f t="shared" si="1"/>
        <v>Группа потребителей</v>
      </c>
      <c r="DB99">
        <v>0</v>
      </c>
    </row>
    <row r="100" spans="3:106" ht="23.25" customHeight="1" x14ac:dyDescent="0.15">
      <c r="E100" s="1"/>
      <c r="F100" s="1"/>
      <c r="G100" s="1">
        <v>1</v>
      </c>
      <c r="H100" s="1"/>
      <c r="I100" s="1"/>
      <c r="J100" s="1"/>
      <c r="K100" s="1" t="str">
        <f>J99&amp;".1"</f>
        <v>1.4.2.1.1.1</v>
      </c>
      <c r="P100" s="1"/>
      <c r="Q100" s="1"/>
      <c r="R100">
        <v>1</v>
      </c>
      <c r="S100" t="str">
        <f>$K100</f>
        <v>1.4.2.1.1.1</v>
      </c>
      <c r="Y100" s="1"/>
      <c r="Z100" s="1" t="s">
        <v>63</v>
      </c>
      <c r="AA100" s="1"/>
      <c r="AB100" s="1" t="s">
        <v>63</v>
      </c>
      <c r="AC100">
        <v>13.21</v>
      </c>
      <c r="AF100" s="1">
        <v>45292.603194444448</v>
      </c>
      <c r="AG100" s="1" t="s">
        <v>63</v>
      </c>
      <c r="AH100" s="1">
        <v>45473.603356481479</v>
      </c>
      <c r="AI100" s="1" t="s">
        <v>63</v>
      </c>
      <c r="AJ100">
        <v>17.18</v>
      </c>
      <c r="AM100" s="1">
        <v>45474.603495370371</v>
      </c>
      <c r="AN100" s="1" t="s">
        <v>63</v>
      </c>
      <c r="AO100" s="1">
        <v>45657.603634259256</v>
      </c>
      <c r="AP100" s="1" t="s">
        <v>63</v>
      </c>
      <c r="AQ100">
        <v>17.18</v>
      </c>
      <c r="AT100" s="1">
        <v>45658.603807870371</v>
      </c>
      <c r="AU100" s="1" t="s">
        <v>63</v>
      </c>
      <c r="AV100" s="1">
        <v>45838.603946759256</v>
      </c>
      <c r="AW100" s="1" t="s">
        <v>63</v>
      </c>
      <c r="AX100">
        <v>22.33</v>
      </c>
      <c r="BA100" s="1">
        <v>45839.604224537034</v>
      </c>
      <c r="BB100" s="1" t="s">
        <v>63</v>
      </c>
      <c r="BC100" s="1">
        <v>46022.604432870372</v>
      </c>
      <c r="BD100" s="1" t="s">
        <v>63</v>
      </c>
      <c r="BE100">
        <v>23.33</v>
      </c>
      <c r="BH100" s="1">
        <v>46023.604618055557</v>
      </c>
      <c r="BI100" s="1" t="s">
        <v>63</v>
      </c>
      <c r="BJ100" s="1">
        <v>46203.604780092595</v>
      </c>
      <c r="BK100" s="1" t="s">
        <v>63</v>
      </c>
      <c r="BL100">
        <v>23.9</v>
      </c>
      <c r="BO100" s="1">
        <v>46204.605081018519</v>
      </c>
      <c r="BP100" s="1" t="s">
        <v>63</v>
      </c>
      <c r="BQ100" s="1">
        <v>46387.60527777778</v>
      </c>
      <c r="BR100" s="1" t="s">
        <v>63</v>
      </c>
      <c r="BS100">
        <v>23.9</v>
      </c>
      <c r="BV100" s="1">
        <v>46388.605543981481</v>
      </c>
      <c r="BW100" s="1" t="s">
        <v>63</v>
      </c>
      <c r="BX100" s="1">
        <v>46568.605810185189</v>
      </c>
      <c r="BY100" s="1" t="s">
        <v>63</v>
      </c>
      <c r="BZ100">
        <v>25.57</v>
      </c>
      <c r="CC100" s="1">
        <v>46569.606041666666</v>
      </c>
      <c r="CD100" s="1" t="s">
        <v>63</v>
      </c>
      <c r="CE100" s="1">
        <v>46752.606388888889</v>
      </c>
      <c r="CF100" s="1" t="s">
        <v>63</v>
      </c>
      <c r="CG100">
        <v>25.57</v>
      </c>
      <c r="CJ100" s="1">
        <v>46753.606817129628</v>
      </c>
      <c r="CK100" s="1" t="s">
        <v>63</v>
      </c>
      <c r="CL100" s="1">
        <v>46934.607002314813</v>
      </c>
      <c r="CM100" s="1" t="s">
        <v>63</v>
      </c>
      <c r="CN100">
        <v>26.36</v>
      </c>
      <c r="CQ100" s="1">
        <v>46935.607233796298</v>
      </c>
      <c r="CR100" s="1" t="s">
        <v>63</v>
      </c>
      <c r="CS100" s="1">
        <v>47118.607476851852</v>
      </c>
      <c r="CT100" s="1" t="s">
        <v>63</v>
      </c>
      <c r="CV10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0" t="e">
        <f ca="1">STRCHECKDATE(V101:CU101)</f>
        <v>#NAME?</v>
      </c>
      <c r="CY100" t="str">
        <f t="shared" si="1"/>
        <v/>
      </c>
      <c r="DB100">
        <v>0</v>
      </c>
    </row>
    <row r="101" spans="3:106" ht="14.25" customHeight="1" x14ac:dyDescent="0.15">
      <c r="E101" s="1"/>
      <c r="F101" s="1"/>
      <c r="G101" s="1">
        <v>1</v>
      </c>
      <c r="H101" s="1"/>
      <c r="I101" s="1"/>
      <c r="J101" s="1"/>
      <c r="K101" s="1"/>
      <c r="P101" s="1"/>
      <c r="Q101" s="1"/>
      <c r="X101" t="str">
        <f>Y100&amp;"-"&amp;AA100</f>
        <v>-</v>
      </c>
      <c r="Y101" s="1"/>
      <c r="Z101" s="1"/>
      <c r="AA101" s="1"/>
      <c r="AB101" s="1"/>
      <c r="AE101" t="str">
        <f>AF100&amp;"-"&amp;AH100</f>
        <v>45292,6031944444-45473,6033564815</v>
      </c>
      <c r="AF101" s="1"/>
      <c r="AG101" s="1"/>
      <c r="AH101" s="1"/>
      <c r="AI101" s="1"/>
      <c r="AL101" t="str">
        <f>AM100&amp;"-"&amp;AO100</f>
        <v>45474,6034953704-45657,6036342593</v>
      </c>
      <c r="AM101" s="1"/>
      <c r="AN101" s="1"/>
      <c r="AO101" s="1"/>
      <c r="AP101" s="1"/>
      <c r="AS101" t="str">
        <f>AT100&amp;"-"&amp;AV100</f>
        <v>45658,6038078704-45838,6039467593</v>
      </c>
      <c r="AT101" s="1"/>
      <c r="AU101" s="1"/>
      <c r="AV101" s="1"/>
      <c r="AW101" s="1"/>
      <c r="AZ101" t="str">
        <f>BA100&amp;"-"&amp;BC100</f>
        <v>45839,604224537-46022,6044328704</v>
      </c>
      <c r="BA101" s="1"/>
      <c r="BB101" s="1"/>
      <c r="BC101" s="1"/>
      <c r="BD101" s="1"/>
      <c r="BG101" t="str">
        <f>BH100&amp;"-"&amp;BJ100</f>
        <v>46023,6046180556-46203,6047800926</v>
      </c>
      <c r="BH101" s="1"/>
      <c r="BI101" s="1"/>
      <c r="BJ101" s="1"/>
      <c r="BK101" s="1"/>
      <c r="BN101" t="str">
        <f>BO100&amp;"-"&amp;BQ100</f>
        <v>46204,6050810185-46387,6052777778</v>
      </c>
      <c r="BO101" s="1"/>
      <c r="BP101" s="1"/>
      <c r="BQ101" s="1"/>
      <c r="BR101" s="1"/>
      <c r="BU101" t="str">
        <f>BV100&amp;"-"&amp;BX100</f>
        <v>46388,6055439815-46568,6058101852</v>
      </c>
      <c r="BV101" s="1"/>
      <c r="BW101" s="1"/>
      <c r="BX101" s="1"/>
      <c r="BY101" s="1"/>
      <c r="CB101" t="str">
        <f>CC100&amp;"-"&amp;CE100</f>
        <v>46569,6060416667-46752,6063888889</v>
      </c>
      <c r="CC101" s="1"/>
      <c r="CD101" s="1"/>
      <c r="CE101" s="1"/>
      <c r="CF101" s="1"/>
      <c r="CI101" t="str">
        <f>CJ100&amp;"-"&amp;CL100</f>
        <v>46753,6068171296-46934,6070023148</v>
      </c>
      <c r="CJ101" s="1"/>
      <c r="CK101" s="1"/>
      <c r="CL101" s="1"/>
      <c r="CM101" s="1"/>
      <c r="CP101" t="str">
        <f>CQ100&amp;"-"&amp;CS100</f>
        <v>46935,6072337963-47118,6074768519</v>
      </c>
      <c r="CQ101" s="1"/>
      <c r="CR101" s="1"/>
      <c r="CS101" s="1"/>
      <c r="CT101" s="1"/>
      <c r="CV101" s="1"/>
      <c r="CY101" t="str">
        <f t="shared" si="1"/>
        <v/>
      </c>
      <c r="DB101">
        <v>0</v>
      </c>
    </row>
    <row r="102" spans="3:106" ht="21" customHeight="1" x14ac:dyDescent="0.15">
      <c r="E102" s="1"/>
      <c r="F102" s="1"/>
      <c r="G102" s="1">
        <v>1</v>
      </c>
      <c r="H102" s="1"/>
      <c r="I102" s="1"/>
      <c r="J102" s="1"/>
      <c r="P102" s="1"/>
      <c r="Q102" s="1"/>
      <c r="T102" t="s">
        <v>601</v>
      </c>
      <c r="CV102" t="s">
        <v>602</v>
      </c>
      <c r="CY102" t="str">
        <f t="shared" si="1"/>
        <v>Добавить значение признака дифференциации</v>
      </c>
      <c r="DB102">
        <v>0</v>
      </c>
    </row>
    <row r="103" spans="3:106" ht="23.25" customHeight="1" x14ac:dyDescent="0.15">
      <c r="E103" s="1"/>
      <c r="F103" s="1"/>
      <c r="G103" s="1"/>
      <c r="H103" s="1"/>
      <c r="I103" s="1"/>
      <c r="J103" s="1" t="str">
        <f>I98&amp;".2"</f>
        <v>1.4.2.1.2</v>
      </c>
      <c r="L103" t="s">
        <v>524</v>
      </c>
      <c r="P103" s="1"/>
      <c r="Q103" s="1" t="s">
        <v>106</v>
      </c>
      <c r="S103" t="str">
        <f>$J103</f>
        <v>1.4.2.1.2</v>
      </c>
      <c r="T103" t="s">
        <v>525</v>
      </c>
      <c r="V103" s="1"/>
      <c r="W103" s="1"/>
      <c r="X103" s="1"/>
      <c r="Y103" s="1"/>
      <c r="Z103" s="1"/>
      <c r="AA103" s="1"/>
      <c r="AB103" s="1"/>
      <c r="AC103" s="1" t="s">
        <v>637</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t="s">
        <v>600</v>
      </c>
      <c r="CY103" t="str">
        <f t="shared" si="1"/>
        <v>Группа потребителей</v>
      </c>
      <c r="DB103">
        <v>0</v>
      </c>
    </row>
    <row r="104" spans="3:106" ht="23.25" customHeight="1" x14ac:dyDescent="0.15">
      <c r="E104" s="1"/>
      <c r="F104" s="1"/>
      <c r="G104" s="1"/>
      <c r="H104" s="1"/>
      <c r="I104" s="1"/>
      <c r="J104" s="1" t="str">
        <f>I98&amp;".1"</f>
        <v>1.4.2.1.1</v>
      </c>
      <c r="K104" s="1" t="str">
        <f>J103&amp;".1"</f>
        <v>1.4.2.1.2.1</v>
      </c>
      <c r="P104" s="1"/>
      <c r="Q104" s="1"/>
      <c r="R104">
        <v>1</v>
      </c>
      <c r="S104" t="str">
        <f>$K104</f>
        <v>1.4.2.1.2.1</v>
      </c>
      <c r="Y104" s="1"/>
      <c r="Z104" s="1" t="s">
        <v>63</v>
      </c>
      <c r="AA104" s="1"/>
      <c r="AB104" s="1" t="s">
        <v>63</v>
      </c>
      <c r="AC104">
        <v>11.01</v>
      </c>
      <c r="AF104" s="1">
        <v>45292.60328703704</v>
      </c>
      <c r="AG104" s="1" t="s">
        <v>63</v>
      </c>
      <c r="AH104" s="1">
        <v>45473.603425925925</v>
      </c>
      <c r="AI104" s="1" t="s">
        <v>63</v>
      </c>
      <c r="AJ104">
        <v>14.32</v>
      </c>
      <c r="AM104" s="1">
        <v>45474.603564814817</v>
      </c>
      <c r="AN104" s="1" t="s">
        <v>63</v>
      </c>
      <c r="AO104" s="1">
        <v>45657.603680555556</v>
      </c>
      <c r="AP104" s="1" t="s">
        <v>63</v>
      </c>
      <c r="AQ104">
        <v>14.32</v>
      </c>
      <c r="AT104" s="1">
        <v>45658.603900462964</v>
      </c>
      <c r="AU104" s="1" t="s">
        <v>63</v>
      </c>
      <c r="AV104" s="1">
        <v>45838.604074074072</v>
      </c>
      <c r="AW104" s="1" t="s">
        <v>63</v>
      </c>
      <c r="AX104">
        <v>18.61</v>
      </c>
      <c r="BA104" s="1">
        <v>45839.604317129626</v>
      </c>
      <c r="BB104" s="1" t="s">
        <v>63</v>
      </c>
      <c r="BC104" s="1">
        <v>46022.604502314818</v>
      </c>
      <c r="BD104" s="1" t="s">
        <v>63</v>
      </c>
      <c r="BE104">
        <v>18.61</v>
      </c>
      <c r="BH104" s="1">
        <v>46023.604710648149</v>
      </c>
      <c r="BI104" s="1" t="s">
        <v>63</v>
      </c>
      <c r="BJ104" s="1">
        <v>46203.604895833334</v>
      </c>
      <c r="BK104" s="1" t="s">
        <v>63</v>
      </c>
      <c r="BL104">
        <v>19.920000000000002</v>
      </c>
      <c r="BO104" s="1">
        <v>46204.605185185188</v>
      </c>
      <c r="BP104" s="1" t="s">
        <v>63</v>
      </c>
      <c r="BQ104" s="1">
        <v>46387.605347222219</v>
      </c>
      <c r="BR104" s="1" t="s">
        <v>63</v>
      </c>
      <c r="BS104">
        <v>19.920000000000002</v>
      </c>
      <c r="BV104" s="1">
        <v>46388.605717592596</v>
      </c>
      <c r="BW104" s="1" t="s">
        <v>63</v>
      </c>
      <c r="BX104" s="1">
        <v>46568.605902777781</v>
      </c>
      <c r="BY104" s="1" t="s">
        <v>63</v>
      </c>
      <c r="BZ104">
        <v>21.31</v>
      </c>
      <c r="CC104" s="1">
        <v>46569.606261574074</v>
      </c>
      <c r="CD104" s="1" t="s">
        <v>63</v>
      </c>
      <c r="CE104" s="1">
        <v>46752.606481481482</v>
      </c>
      <c r="CF104" s="1" t="s">
        <v>63</v>
      </c>
      <c r="CG104">
        <v>21.31</v>
      </c>
      <c r="CJ104" s="1">
        <v>46753.606921296298</v>
      </c>
      <c r="CK104" s="1" t="s">
        <v>63</v>
      </c>
      <c r="CL104" s="1">
        <v>46934.607106481482</v>
      </c>
      <c r="CM104" s="1" t="s">
        <v>63</v>
      </c>
      <c r="CN104">
        <v>21.97</v>
      </c>
      <c r="CQ104" s="1">
        <v>46935.60733796296</v>
      </c>
      <c r="CR104" s="1" t="s">
        <v>63</v>
      </c>
      <c r="CS104" s="1">
        <v>47118.607546296298</v>
      </c>
      <c r="CT104" s="1" t="s">
        <v>63</v>
      </c>
      <c r="CV10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4" t="e">
        <f ca="1">STRCHECKDATE(V105:CU105)</f>
        <v>#NAME?</v>
      </c>
      <c r="CY104" t="str">
        <f t="shared" si="1"/>
        <v/>
      </c>
      <c r="DB104">
        <v>0</v>
      </c>
    </row>
    <row r="105" spans="3:106" ht="14.25" customHeight="1" x14ac:dyDescent="0.15">
      <c r="E105" s="1"/>
      <c r="F105" s="1"/>
      <c r="G105" s="1"/>
      <c r="H105" s="1"/>
      <c r="I105" s="1"/>
      <c r="J105" s="1" t="str">
        <f>I98&amp;".1"</f>
        <v>1.4.2.1.1</v>
      </c>
      <c r="K105" s="1"/>
      <c r="P105" s="1"/>
      <c r="Q105" s="1"/>
      <c r="X105" t="str">
        <f>Y104&amp;"-"&amp;AA104</f>
        <v>-</v>
      </c>
      <c r="Y105" s="1"/>
      <c r="Z105" s="1"/>
      <c r="AA105" s="1"/>
      <c r="AB105" s="1"/>
      <c r="AE105" t="str">
        <f>AF104&amp;"-"&amp;AH104</f>
        <v>45292,603287037-45473,6034259259</v>
      </c>
      <c r="AF105" s="1"/>
      <c r="AG105" s="1"/>
      <c r="AH105" s="1"/>
      <c r="AI105" s="1"/>
      <c r="AL105" t="str">
        <f>AM104&amp;"-"&amp;AO104</f>
        <v>45474,6035648148-45657,6036805556</v>
      </c>
      <c r="AM105" s="1"/>
      <c r="AN105" s="1"/>
      <c r="AO105" s="1"/>
      <c r="AP105" s="1"/>
      <c r="AS105" t="str">
        <f>AT104&amp;"-"&amp;AV104</f>
        <v>45658,603900463-45838,6040740741</v>
      </c>
      <c r="AT105" s="1"/>
      <c r="AU105" s="1"/>
      <c r="AV105" s="1"/>
      <c r="AW105" s="1"/>
      <c r="AZ105" t="str">
        <f>BA104&amp;"-"&amp;BC104</f>
        <v>45839,6043171296-46022,6045023148</v>
      </c>
      <c r="BA105" s="1"/>
      <c r="BB105" s="1"/>
      <c r="BC105" s="1"/>
      <c r="BD105" s="1"/>
      <c r="BG105" t="str">
        <f>BH104&amp;"-"&amp;BJ104</f>
        <v>46023,6047106481-46203,6048958333</v>
      </c>
      <c r="BH105" s="1"/>
      <c r="BI105" s="1"/>
      <c r="BJ105" s="1"/>
      <c r="BK105" s="1"/>
      <c r="BN105" t="str">
        <f>BO104&amp;"-"&amp;BQ104</f>
        <v>46204,6051851852-46387,6053472222</v>
      </c>
      <c r="BO105" s="1"/>
      <c r="BP105" s="1"/>
      <c r="BQ105" s="1"/>
      <c r="BR105" s="1"/>
      <c r="BU105" t="str">
        <f>BV104&amp;"-"&amp;BX104</f>
        <v>46388,6057175926-46568,6059027778</v>
      </c>
      <c r="BV105" s="1"/>
      <c r="BW105" s="1"/>
      <c r="BX105" s="1"/>
      <c r="BY105" s="1"/>
      <c r="CB105" t="str">
        <f>CC104&amp;"-"&amp;CE104</f>
        <v>46569,6062615741-46752,6064814815</v>
      </c>
      <c r="CC105" s="1"/>
      <c r="CD105" s="1"/>
      <c r="CE105" s="1"/>
      <c r="CF105" s="1"/>
      <c r="CI105" t="str">
        <f>CJ104&amp;"-"&amp;CL104</f>
        <v>46753,6069212963-46934,6071064815</v>
      </c>
      <c r="CJ105" s="1"/>
      <c r="CK105" s="1"/>
      <c r="CL105" s="1"/>
      <c r="CM105" s="1"/>
      <c r="CP105" t="str">
        <f>CQ104&amp;"-"&amp;CS104</f>
        <v>46935,607337963-47118,6075462963</v>
      </c>
      <c r="CQ105" s="1"/>
      <c r="CR105" s="1"/>
      <c r="CS105" s="1"/>
      <c r="CT105" s="1"/>
      <c r="CV105" s="1"/>
      <c r="CY105" t="str">
        <f t="shared" ref="CY105:CY168" si="2">IF(T105="","",T105)</f>
        <v/>
      </c>
      <c r="DB105">
        <v>0</v>
      </c>
    </row>
    <row r="106" spans="3:106" ht="21" customHeight="1" x14ac:dyDescent="0.15">
      <c r="E106" s="1"/>
      <c r="F106" s="1"/>
      <c r="G106" s="1"/>
      <c r="H106" s="1"/>
      <c r="I106" s="1"/>
      <c r="J106" s="1" t="str">
        <f>I98&amp;".1"</f>
        <v>1.4.2.1.1</v>
      </c>
      <c r="P106" s="1"/>
      <c r="Q106" s="1"/>
      <c r="T106" t="s">
        <v>601</v>
      </c>
      <c r="CV106" t="s">
        <v>602</v>
      </c>
      <c r="CY106" t="str">
        <f t="shared" si="2"/>
        <v>Добавить значение признака дифференциации</v>
      </c>
      <c r="DB106">
        <v>0</v>
      </c>
    </row>
    <row r="107" spans="3:106" ht="21" customHeight="1" x14ac:dyDescent="0.15">
      <c r="E107" s="1"/>
      <c r="F107" s="1"/>
      <c r="G107" s="1">
        <v>1</v>
      </c>
      <c r="H107" s="1"/>
      <c r="I107" s="1"/>
      <c r="P107" s="1"/>
      <c r="T107" t="s">
        <v>530</v>
      </c>
      <c r="CY107" t="str">
        <f t="shared" si="2"/>
        <v>Добавить группу потребителей</v>
      </c>
      <c r="DB107">
        <v>0</v>
      </c>
    </row>
    <row r="108" spans="3:106" ht="21" customHeight="1" x14ac:dyDescent="0.15">
      <c r="E108" s="1"/>
      <c r="F108" s="1"/>
      <c r="G108" s="1">
        <v>1</v>
      </c>
      <c r="H108" s="1"/>
      <c r="T108" t="s">
        <v>603</v>
      </c>
      <c r="CY108" t="str">
        <f t="shared" si="2"/>
        <v>Добавить наименование признака дифференциации</v>
      </c>
      <c r="DB108">
        <v>0</v>
      </c>
    </row>
    <row r="109" spans="3:106" ht="23.25" customHeight="1" x14ac:dyDescent="0.15">
      <c r="C109" t="s">
        <v>338</v>
      </c>
      <c r="E109" s="1"/>
      <c r="F109" s="1"/>
      <c r="G109" s="1" t="s">
        <v>92</v>
      </c>
      <c r="S109" t="str">
        <f>INDEX(PT_DIFFERENTIATION_NUM_CS,MATCH(C109,PT_DIFFERENTIATION_CS_ID,0))</f>
        <v>1.4.3</v>
      </c>
      <c r="T109" t="s">
        <v>631</v>
      </c>
      <c r="V109" s="1"/>
      <c r="W109" s="1"/>
      <c r="X109" s="1"/>
      <c r="Y109" s="1"/>
      <c r="Z109" s="1"/>
      <c r="AA109" s="1"/>
      <c r="AB109" s="1"/>
      <c r="AC109" s="1" t="str">
        <f>INDEX(PT_DIFFERENTIATION_CS,MATCH(C109,PT_DIFFERENTIATION_CS_ID,0))</f>
        <v>пгт. Краскино</v>
      </c>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t="s">
        <v>632</v>
      </c>
      <c r="CY109" t="str">
        <f t="shared" si="2"/>
        <v>Наименование централизованной системы водоотведения</v>
      </c>
      <c r="DB109">
        <v>0</v>
      </c>
    </row>
    <row r="110" spans="3:106" ht="23.25" customHeight="1" x14ac:dyDescent="0.15">
      <c r="E110" s="1"/>
      <c r="F110" s="1"/>
      <c r="G110" s="1" t="s">
        <v>105</v>
      </c>
      <c r="H110" s="1"/>
      <c r="I110" s="1" t="str">
        <f>S109&amp;".1"</f>
        <v>1.4.3.1</v>
      </c>
      <c r="P110" s="1">
        <v>1</v>
      </c>
      <c r="S110" t="str">
        <f>$I110</f>
        <v>1.4.3.1</v>
      </c>
      <c r="T110" t="s">
        <v>598</v>
      </c>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t="s">
        <v>599</v>
      </c>
      <c r="CY110" t="str">
        <f t="shared" si="2"/>
        <v>Наименование признака дифференциации</v>
      </c>
      <c r="DB110">
        <v>0</v>
      </c>
    </row>
    <row r="111" spans="3:106" ht="23.25" customHeight="1" x14ac:dyDescent="0.15">
      <c r="E111" s="1"/>
      <c r="F111" s="1"/>
      <c r="G111" s="1" t="s">
        <v>105</v>
      </c>
      <c r="H111" s="1"/>
      <c r="I111" s="1"/>
      <c r="J111" s="1" t="str">
        <f>I110&amp;".1"</f>
        <v>1.4.3.1.1</v>
      </c>
      <c r="L111" t="s">
        <v>524</v>
      </c>
      <c r="P111" s="1"/>
      <c r="Q111" s="1">
        <v>1</v>
      </c>
      <c r="S111" t="str">
        <f>$J111</f>
        <v>1.4.3.1.1</v>
      </c>
      <c r="T111" t="s">
        <v>525</v>
      </c>
      <c r="V111" s="1"/>
      <c r="W111" s="1"/>
      <c r="X111" s="1"/>
      <c r="Y111" s="1"/>
      <c r="Z111" s="1"/>
      <c r="AA111" s="1"/>
      <c r="AB111" s="1"/>
      <c r="AC111" s="1" t="s">
        <v>636</v>
      </c>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t="s">
        <v>600</v>
      </c>
      <c r="CY111" t="str">
        <f t="shared" si="2"/>
        <v>Группа потребителей</v>
      </c>
      <c r="DB111">
        <v>0</v>
      </c>
    </row>
    <row r="112" spans="3:106" ht="23.25" customHeight="1" x14ac:dyDescent="0.15">
      <c r="E112" s="1"/>
      <c r="F112" s="1"/>
      <c r="G112" s="1" t="s">
        <v>105</v>
      </c>
      <c r="H112" s="1"/>
      <c r="I112" s="1"/>
      <c r="J112" s="1"/>
      <c r="K112" s="1" t="str">
        <f>J111&amp;".1"</f>
        <v>1.4.3.1.1.1</v>
      </c>
      <c r="P112" s="1"/>
      <c r="Q112" s="1"/>
      <c r="R112">
        <v>1</v>
      </c>
      <c r="S112" t="str">
        <f>$K112</f>
        <v>1.4.3.1.1.1</v>
      </c>
      <c r="Y112" s="1"/>
      <c r="Z112" s="1" t="s">
        <v>63</v>
      </c>
      <c r="AA112" s="1"/>
      <c r="AB112" s="1" t="s">
        <v>63</v>
      </c>
      <c r="AC112">
        <v>10.19</v>
      </c>
      <c r="AF112" s="1">
        <v>45292.62703703704</v>
      </c>
      <c r="AG112" s="1" t="s">
        <v>63</v>
      </c>
      <c r="AH112" s="1">
        <v>45473.627268518518</v>
      </c>
      <c r="AI112" s="1" t="s">
        <v>63</v>
      </c>
      <c r="AJ112">
        <v>13.25</v>
      </c>
      <c r="AM112" s="1">
        <v>45474.627557870372</v>
      </c>
      <c r="AN112" s="1" t="s">
        <v>63</v>
      </c>
      <c r="AO112" s="1">
        <v>45657.627858796295</v>
      </c>
      <c r="AP112" s="1" t="s">
        <v>63</v>
      </c>
      <c r="AQ112">
        <v>13.25</v>
      </c>
      <c r="AT112" s="1">
        <v>45658.628078703703</v>
      </c>
      <c r="AU112" s="1" t="s">
        <v>63</v>
      </c>
      <c r="AV112" s="1">
        <v>45838.628263888888</v>
      </c>
      <c r="AW112" s="1" t="s">
        <v>63</v>
      </c>
      <c r="AX112">
        <v>15.76</v>
      </c>
      <c r="BA112" s="1">
        <v>45839.628634259258</v>
      </c>
      <c r="BB112" s="1" t="s">
        <v>63</v>
      </c>
      <c r="BC112" s="1">
        <v>46022.628865740742</v>
      </c>
      <c r="BD112" s="1" t="s">
        <v>63</v>
      </c>
      <c r="BE112">
        <v>15.76</v>
      </c>
      <c r="BH112" s="1">
        <v>46023.629166666666</v>
      </c>
      <c r="BI112" s="1" t="s">
        <v>63</v>
      </c>
      <c r="BJ112" s="1">
        <v>46203.629421296297</v>
      </c>
      <c r="BK112" s="1" t="s">
        <v>63</v>
      </c>
      <c r="BL112">
        <v>16.55</v>
      </c>
      <c r="BO112" s="1">
        <v>46204.629780092589</v>
      </c>
      <c r="BP112" s="1" t="s">
        <v>63</v>
      </c>
      <c r="BQ112" s="1">
        <v>46387.629988425928</v>
      </c>
      <c r="BR112" s="1" t="s">
        <v>63</v>
      </c>
      <c r="BS112">
        <v>16.55</v>
      </c>
      <c r="BV112" s="1">
        <v>46388.630335648151</v>
      </c>
      <c r="BW112" s="1" t="s">
        <v>63</v>
      </c>
      <c r="BX112" s="1">
        <v>46568.630486111113</v>
      </c>
      <c r="BY112" s="1" t="s">
        <v>63</v>
      </c>
      <c r="BZ112">
        <v>17.21</v>
      </c>
      <c r="CC112" s="1">
        <v>46569.630833333336</v>
      </c>
      <c r="CD112" s="1" t="s">
        <v>63</v>
      </c>
      <c r="CE112" s="1">
        <v>46752.631724537037</v>
      </c>
      <c r="CF112" s="1" t="s">
        <v>63</v>
      </c>
      <c r="CG112">
        <v>17.21</v>
      </c>
      <c r="CJ112" s="1">
        <v>46753.632094907407</v>
      </c>
      <c r="CK112" s="1" t="s">
        <v>63</v>
      </c>
      <c r="CL112" s="1">
        <v>46934.632291666669</v>
      </c>
      <c r="CM112" s="1" t="s">
        <v>63</v>
      </c>
      <c r="CN112">
        <v>17.91</v>
      </c>
      <c r="CQ112" s="1">
        <v>46935.632638888892</v>
      </c>
      <c r="CR112" s="1" t="s">
        <v>63</v>
      </c>
      <c r="CS112" s="1">
        <v>47118.632835648146</v>
      </c>
      <c r="CT112" s="1" t="s">
        <v>63</v>
      </c>
      <c r="CV11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2" t="e">
        <f ca="1">STRCHECKDATE(V113:CU113)</f>
        <v>#NAME?</v>
      </c>
      <c r="CY112" t="str">
        <f t="shared" si="2"/>
        <v/>
      </c>
      <c r="DB112">
        <v>0</v>
      </c>
    </row>
    <row r="113" spans="3:106" ht="14.25" customHeight="1" x14ac:dyDescent="0.15">
      <c r="E113" s="1"/>
      <c r="F113" s="1"/>
      <c r="G113" s="1" t="s">
        <v>105</v>
      </c>
      <c r="H113" s="1"/>
      <c r="I113" s="1"/>
      <c r="J113" s="1"/>
      <c r="K113" s="1"/>
      <c r="P113" s="1"/>
      <c r="Q113" s="1"/>
      <c r="X113" t="str">
        <f>Y112&amp;"-"&amp;AA112</f>
        <v>-</v>
      </c>
      <c r="Y113" s="1"/>
      <c r="Z113" s="1"/>
      <c r="AA113" s="1"/>
      <c r="AB113" s="1"/>
      <c r="AE113" t="str">
        <f>AF112&amp;"-"&amp;AH112</f>
        <v>45292,627037037-45473,6272685185</v>
      </c>
      <c r="AF113" s="1"/>
      <c r="AG113" s="1"/>
      <c r="AH113" s="1"/>
      <c r="AI113" s="1"/>
      <c r="AL113" t="str">
        <f>AM112&amp;"-"&amp;AO112</f>
        <v>45474,6275578704-45657,6278587963</v>
      </c>
      <c r="AM113" s="1"/>
      <c r="AN113" s="1"/>
      <c r="AO113" s="1"/>
      <c r="AP113" s="1"/>
      <c r="AS113" t="str">
        <f>AT112&amp;"-"&amp;AV112</f>
        <v>45658,6280787037-45838,6282638889</v>
      </c>
      <c r="AT113" s="1"/>
      <c r="AU113" s="1"/>
      <c r="AV113" s="1"/>
      <c r="AW113" s="1"/>
      <c r="AZ113" t="str">
        <f>BA112&amp;"-"&amp;BC112</f>
        <v>45839,6286342593-46022,6288657407</v>
      </c>
      <c r="BA113" s="1"/>
      <c r="BB113" s="1"/>
      <c r="BC113" s="1"/>
      <c r="BD113" s="1"/>
      <c r="BG113" t="str">
        <f>BH112&amp;"-"&amp;BJ112</f>
        <v>46023,6291666667-46203,6294212962</v>
      </c>
      <c r="BH113" s="1"/>
      <c r="BI113" s="1"/>
      <c r="BJ113" s="1"/>
      <c r="BK113" s="1"/>
      <c r="BN113" t="str">
        <f>BO112&amp;"-"&amp;BQ112</f>
        <v>46204,6297800926-46387,6299884259</v>
      </c>
      <c r="BO113" s="1"/>
      <c r="BP113" s="1"/>
      <c r="BQ113" s="1"/>
      <c r="BR113" s="1"/>
      <c r="BU113" t="str">
        <f>BV112&amp;"-"&amp;BX112</f>
        <v>46388,6303356482-46568,6304861111</v>
      </c>
      <c r="BV113" s="1"/>
      <c r="BW113" s="1"/>
      <c r="BX113" s="1"/>
      <c r="BY113" s="1"/>
      <c r="CB113" t="str">
        <f>CC112&amp;"-"&amp;CE112</f>
        <v>46569,6308333333-46752,631724537</v>
      </c>
      <c r="CC113" s="1"/>
      <c r="CD113" s="1"/>
      <c r="CE113" s="1"/>
      <c r="CF113" s="1"/>
      <c r="CI113" t="str">
        <f>CJ112&amp;"-"&amp;CL112</f>
        <v>46753,6320949074-46934,6322916667</v>
      </c>
      <c r="CJ113" s="1"/>
      <c r="CK113" s="1"/>
      <c r="CL113" s="1"/>
      <c r="CM113" s="1"/>
      <c r="CP113" t="str">
        <f>CQ112&amp;"-"&amp;CS112</f>
        <v>46935,6326388889-47118,6328356481</v>
      </c>
      <c r="CQ113" s="1"/>
      <c r="CR113" s="1"/>
      <c r="CS113" s="1"/>
      <c r="CT113" s="1"/>
      <c r="CV113" s="1"/>
      <c r="CY113" t="str">
        <f t="shared" si="2"/>
        <v/>
      </c>
      <c r="DB113">
        <v>0</v>
      </c>
    </row>
    <row r="114" spans="3:106" ht="21" customHeight="1" x14ac:dyDescent="0.15">
      <c r="E114" s="1"/>
      <c r="F114" s="1"/>
      <c r="G114" s="1" t="s">
        <v>105</v>
      </c>
      <c r="H114" s="1"/>
      <c r="I114" s="1"/>
      <c r="J114" s="1"/>
      <c r="P114" s="1"/>
      <c r="Q114" s="1"/>
      <c r="T114" t="s">
        <v>601</v>
      </c>
      <c r="CV114" t="s">
        <v>602</v>
      </c>
      <c r="CY114" t="str">
        <f t="shared" si="2"/>
        <v>Добавить значение признака дифференциации</v>
      </c>
      <c r="DB114">
        <v>0</v>
      </c>
    </row>
    <row r="115" spans="3:106" ht="23.25" customHeight="1" x14ac:dyDescent="0.15">
      <c r="E115" s="1"/>
      <c r="F115" s="1"/>
      <c r="G115" s="1"/>
      <c r="H115" s="1"/>
      <c r="I115" s="1"/>
      <c r="J115" s="1" t="str">
        <f>I110&amp;".2"</f>
        <v>1.4.3.1.2</v>
      </c>
      <c r="L115" t="s">
        <v>524</v>
      </c>
      <c r="P115" s="1"/>
      <c r="Q115" s="1" t="s">
        <v>106</v>
      </c>
      <c r="S115" t="str">
        <f>$J115</f>
        <v>1.4.3.1.2</v>
      </c>
      <c r="T115" t="s">
        <v>525</v>
      </c>
      <c r="V115" s="1"/>
      <c r="W115" s="1"/>
      <c r="X115" s="1"/>
      <c r="Y115" s="1"/>
      <c r="Z115" s="1"/>
      <c r="AA115" s="1"/>
      <c r="AB115" s="1"/>
      <c r="AC115" s="1" t="s">
        <v>637</v>
      </c>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t="s">
        <v>600</v>
      </c>
      <c r="CY115" t="str">
        <f t="shared" si="2"/>
        <v>Группа потребителей</v>
      </c>
      <c r="DB115">
        <v>0</v>
      </c>
    </row>
    <row r="116" spans="3:106" ht="23.25" customHeight="1" x14ac:dyDescent="0.15">
      <c r="E116" s="1"/>
      <c r="F116" s="1"/>
      <c r="G116" s="1"/>
      <c r="H116" s="1"/>
      <c r="I116" s="1"/>
      <c r="J116" s="1" t="str">
        <f>I110&amp;".1"</f>
        <v>1.4.3.1.1</v>
      </c>
      <c r="K116" s="1" t="str">
        <f>J115&amp;".1"</f>
        <v>1.4.3.1.2.1</v>
      </c>
      <c r="P116" s="1"/>
      <c r="Q116" s="1"/>
      <c r="R116">
        <v>1</v>
      </c>
      <c r="S116" t="str">
        <f>$K116</f>
        <v>1.4.3.1.2.1</v>
      </c>
      <c r="Y116" s="1"/>
      <c r="Z116" s="1" t="s">
        <v>63</v>
      </c>
      <c r="AA116" s="1"/>
      <c r="AB116" s="1" t="s">
        <v>63</v>
      </c>
      <c r="AC116">
        <v>8.49</v>
      </c>
      <c r="AF116" s="1">
        <v>45292.627141203702</v>
      </c>
      <c r="AG116" s="1" t="s">
        <v>63</v>
      </c>
      <c r="AH116" s="1">
        <v>45473.627465277779</v>
      </c>
      <c r="AI116" s="1" t="s">
        <v>63</v>
      </c>
      <c r="AJ116">
        <v>11.04</v>
      </c>
      <c r="AM116" s="1">
        <v>45474.627638888887</v>
      </c>
      <c r="AN116" s="1" t="s">
        <v>63</v>
      </c>
      <c r="AO116" s="1">
        <v>45657.627928240741</v>
      </c>
      <c r="AP116" s="1" t="s">
        <v>63</v>
      </c>
      <c r="AQ116">
        <v>11.04</v>
      </c>
      <c r="AT116" s="1">
        <v>45658.628194444442</v>
      </c>
      <c r="AU116" s="1" t="s">
        <v>63</v>
      </c>
      <c r="AV116" s="1">
        <v>45838.62835648148</v>
      </c>
      <c r="AW116" s="1" t="s">
        <v>63</v>
      </c>
      <c r="AX116">
        <v>13.13</v>
      </c>
      <c r="BA116" s="1">
        <v>45839.628750000003</v>
      </c>
      <c r="BB116" s="1" t="s">
        <v>63</v>
      </c>
      <c r="BC116" s="1">
        <v>46022.628935185188</v>
      </c>
      <c r="BD116" s="1" t="s">
        <v>63</v>
      </c>
      <c r="BE116">
        <v>13.13</v>
      </c>
      <c r="BH116" s="1">
        <v>46023.629328703704</v>
      </c>
      <c r="BI116" s="1" t="s">
        <v>63</v>
      </c>
      <c r="BJ116" s="1">
        <v>46203.629537037035</v>
      </c>
      <c r="BK116" s="1" t="s">
        <v>63</v>
      </c>
      <c r="BL116">
        <v>13.79</v>
      </c>
      <c r="BO116" s="1">
        <v>46204.629895833335</v>
      </c>
      <c r="BP116" s="1" t="s">
        <v>63</v>
      </c>
      <c r="BQ116" s="1">
        <v>46387.630069444444</v>
      </c>
      <c r="BR116" s="1" t="s">
        <v>63</v>
      </c>
      <c r="BS116">
        <v>13.79</v>
      </c>
      <c r="BV116" s="1">
        <v>46388.630416666667</v>
      </c>
      <c r="BW116" s="1" t="s">
        <v>63</v>
      </c>
      <c r="BX116" s="1">
        <v>46568.630613425928</v>
      </c>
      <c r="BY116" s="1" t="s">
        <v>63</v>
      </c>
      <c r="BZ116">
        <v>14.34</v>
      </c>
      <c r="CC116" s="1">
        <v>46569.631585648145</v>
      </c>
      <c r="CD116" s="1" t="s">
        <v>63</v>
      </c>
      <c r="CE116" s="1">
        <v>46752.631805555553</v>
      </c>
      <c r="CF116" s="1" t="s">
        <v>63</v>
      </c>
      <c r="CG116">
        <v>14.34</v>
      </c>
      <c r="CJ116" s="1">
        <v>46753.632199074076</v>
      </c>
      <c r="CK116" s="1" t="s">
        <v>63</v>
      </c>
      <c r="CL116" s="1">
        <v>46934.632395833331</v>
      </c>
      <c r="CM116" s="1" t="s">
        <v>63</v>
      </c>
      <c r="CN116">
        <v>14.93</v>
      </c>
      <c r="CQ116" s="1">
        <v>46935.632743055554</v>
      </c>
      <c r="CR116" s="1" t="s">
        <v>63</v>
      </c>
      <c r="CS116" s="1">
        <v>47118.632928240739</v>
      </c>
      <c r="CT116" s="1" t="s">
        <v>63</v>
      </c>
      <c r="CV11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6" t="e">
        <f ca="1">STRCHECKDATE(V117:CU117)</f>
        <v>#NAME?</v>
      </c>
      <c r="CY116" t="str">
        <f t="shared" si="2"/>
        <v/>
      </c>
      <c r="DB116">
        <v>0</v>
      </c>
    </row>
    <row r="117" spans="3:106" ht="14.25" customHeight="1" x14ac:dyDescent="0.15">
      <c r="E117" s="1"/>
      <c r="F117" s="1"/>
      <c r="G117" s="1"/>
      <c r="H117" s="1"/>
      <c r="I117" s="1"/>
      <c r="J117" s="1" t="str">
        <f>I110&amp;".1"</f>
        <v>1.4.3.1.1</v>
      </c>
      <c r="K117" s="1"/>
      <c r="P117" s="1"/>
      <c r="Q117" s="1"/>
      <c r="X117" t="str">
        <f>Y116&amp;"-"&amp;AA116</f>
        <v>-</v>
      </c>
      <c r="Y117" s="1"/>
      <c r="Z117" s="1"/>
      <c r="AA117" s="1"/>
      <c r="AB117" s="1"/>
      <c r="AE117" t="str">
        <f>AF116&amp;"-"&amp;AH116</f>
        <v>45292,6271412037-45473,6274652778</v>
      </c>
      <c r="AF117" s="1"/>
      <c r="AG117" s="1"/>
      <c r="AH117" s="1"/>
      <c r="AI117" s="1"/>
      <c r="AL117" t="str">
        <f>AM116&amp;"-"&amp;AO116</f>
        <v>45474,6276388889-45657,6279282407</v>
      </c>
      <c r="AM117" s="1"/>
      <c r="AN117" s="1"/>
      <c r="AO117" s="1"/>
      <c r="AP117" s="1"/>
      <c r="AS117" t="str">
        <f>AT116&amp;"-"&amp;AV116</f>
        <v>45658,6281944444-45838,6283564815</v>
      </c>
      <c r="AT117" s="1"/>
      <c r="AU117" s="1"/>
      <c r="AV117" s="1"/>
      <c r="AW117" s="1"/>
      <c r="AZ117" t="str">
        <f>BA116&amp;"-"&amp;BC116</f>
        <v>45839,62875-46022,6289351852</v>
      </c>
      <c r="BA117" s="1"/>
      <c r="BB117" s="1"/>
      <c r="BC117" s="1"/>
      <c r="BD117" s="1"/>
      <c r="BG117" t="str">
        <f>BH116&amp;"-"&amp;BJ116</f>
        <v>46023,6293287037-46203,629537037</v>
      </c>
      <c r="BH117" s="1"/>
      <c r="BI117" s="1"/>
      <c r="BJ117" s="1"/>
      <c r="BK117" s="1"/>
      <c r="BN117" t="str">
        <f>BO116&amp;"-"&amp;BQ116</f>
        <v>46204,6298958333-46387,6300694444</v>
      </c>
      <c r="BO117" s="1"/>
      <c r="BP117" s="1"/>
      <c r="BQ117" s="1"/>
      <c r="BR117" s="1"/>
      <c r="BU117" t="str">
        <f>BV116&amp;"-"&amp;BX116</f>
        <v>46388,6304166667-46568,6306134259</v>
      </c>
      <c r="BV117" s="1"/>
      <c r="BW117" s="1"/>
      <c r="BX117" s="1"/>
      <c r="BY117" s="1"/>
      <c r="CB117" t="str">
        <f>CC116&amp;"-"&amp;CE116</f>
        <v>46569,6315856481-46752,6318055556</v>
      </c>
      <c r="CC117" s="1"/>
      <c r="CD117" s="1"/>
      <c r="CE117" s="1"/>
      <c r="CF117" s="1"/>
      <c r="CI117" t="str">
        <f>CJ116&amp;"-"&amp;CL116</f>
        <v>46753,6321990741-46934,6323958333</v>
      </c>
      <c r="CJ117" s="1"/>
      <c r="CK117" s="1"/>
      <c r="CL117" s="1"/>
      <c r="CM117" s="1"/>
      <c r="CP117" t="str">
        <f>CQ116&amp;"-"&amp;CS116</f>
        <v>46935,6327430556-47118,6329282407</v>
      </c>
      <c r="CQ117" s="1"/>
      <c r="CR117" s="1"/>
      <c r="CS117" s="1"/>
      <c r="CT117" s="1"/>
      <c r="CV117" s="1"/>
      <c r="CY117" t="str">
        <f t="shared" si="2"/>
        <v/>
      </c>
      <c r="DB117">
        <v>0</v>
      </c>
    </row>
    <row r="118" spans="3:106" ht="21" customHeight="1" x14ac:dyDescent="0.15">
      <c r="E118" s="1"/>
      <c r="F118" s="1"/>
      <c r="G118" s="1"/>
      <c r="H118" s="1"/>
      <c r="I118" s="1"/>
      <c r="J118" s="1" t="str">
        <f>I110&amp;".1"</f>
        <v>1.4.3.1.1</v>
      </c>
      <c r="P118" s="1"/>
      <c r="Q118" s="1"/>
      <c r="T118" t="s">
        <v>601</v>
      </c>
      <c r="CV118" t="s">
        <v>602</v>
      </c>
      <c r="CY118" t="str">
        <f t="shared" si="2"/>
        <v>Добавить значение признака дифференциации</v>
      </c>
      <c r="DB118">
        <v>0</v>
      </c>
    </row>
    <row r="119" spans="3:106" ht="21" customHeight="1" x14ac:dyDescent="0.15">
      <c r="E119" s="1"/>
      <c r="F119" s="1"/>
      <c r="G119" s="1" t="s">
        <v>105</v>
      </c>
      <c r="H119" s="1"/>
      <c r="I119" s="1"/>
      <c r="P119" s="1"/>
      <c r="T119" t="s">
        <v>530</v>
      </c>
      <c r="CY119" t="str">
        <f t="shared" si="2"/>
        <v>Добавить группу потребителей</v>
      </c>
      <c r="DB119">
        <v>0</v>
      </c>
    </row>
    <row r="120" spans="3:106" ht="21" customHeight="1" x14ac:dyDescent="0.15">
      <c r="E120" s="1"/>
      <c r="F120" s="1"/>
      <c r="G120" s="1" t="s">
        <v>105</v>
      </c>
      <c r="H120" s="1"/>
      <c r="T120" t="s">
        <v>603</v>
      </c>
      <c r="CY120" t="str">
        <f t="shared" si="2"/>
        <v>Добавить наименование признака дифференциации</v>
      </c>
      <c r="DB120">
        <v>0</v>
      </c>
    </row>
    <row r="121" spans="3:106" ht="23.25" customHeight="1" x14ac:dyDescent="0.15">
      <c r="C121" t="s">
        <v>341</v>
      </c>
      <c r="E121" s="1"/>
      <c r="F121" s="1"/>
      <c r="G121" s="1" t="s">
        <v>93</v>
      </c>
      <c r="S121" t="str">
        <f>INDEX(PT_DIFFERENTIATION_NUM_CS,MATCH(C121,PT_DIFFERENTIATION_CS_ID,0))</f>
        <v>1.4.4</v>
      </c>
      <c r="T121" t="s">
        <v>631</v>
      </c>
      <c r="V121" s="1"/>
      <c r="W121" s="1"/>
      <c r="X121" s="1"/>
      <c r="Y121" s="1"/>
      <c r="Z121" s="1"/>
      <c r="AA121" s="1"/>
      <c r="AB121" s="1"/>
      <c r="AC121" s="1" t="str">
        <f>INDEX(PT_DIFFERENTIATION_CS,MATCH(C121,PT_DIFFERENTIATION_CS_ID,0))</f>
        <v>пгт. Посьет</v>
      </c>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t="s">
        <v>632</v>
      </c>
      <c r="CY121" t="str">
        <f t="shared" si="2"/>
        <v>Наименование централизованной системы водоотведения</v>
      </c>
      <c r="DB121">
        <v>0</v>
      </c>
    </row>
    <row r="122" spans="3:106" ht="23.25" customHeight="1" x14ac:dyDescent="0.15">
      <c r="E122" s="1"/>
      <c r="F122" s="1"/>
      <c r="G122" s="1" t="s">
        <v>92</v>
      </c>
      <c r="H122" s="1"/>
      <c r="I122" s="1" t="str">
        <f>S121&amp;".1"</f>
        <v>1.4.4.1</v>
      </c>
      <c r="P122" s="1">
        <v>1</v>
      </c>
      <c r="S122" t="str">
        <f>$I122</f>
        <v>1.4.4.1</v>
      </c>
      <c r="T122" t="s">
        <v>598</v>
      </c>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t="s">
        <v>599</v>
      </c>
      <c r="CY122" t="str">
        <f t="shared" si="2"/>
        <v>Наименование признака дифференциации</v>
      </c>
      <c r="DB122">
        <v>0</v>
      </c>
    </row>
    <row r="123" spans="3:106" ht="23.25" customHeight="1" x14ac:dyDescent="0.15">
      <c r="E123" s="1"/>
      <c r="F123" s="1"/>
      <c r="G123" s="1" t="s">
        <v>92</v>
      </c>
      <c r="H123" s="1"/>
      <c r="I123" s="1"/>
      <c r="J123" s="1" t="str">
        <f>I122&amp;".1"</f>
        <v>1.4.4.1.1</v>
      </c>
      <c r="L123" t="s">
        <v>524</v>
      </c>
      <c r="P123" s="1"/>
      <c r="Q123" s="1">
        <v>1</v>
      </c>
      <c r="S123" t="str">
        <f>$J123</f>
        <v>1.4.4.1.1</v>
      </c>
      <c r="T123" t="s">
        <v>525</v>
      </c>
      <c r="V123" s="1"/>
      <c r="W123" s="1"/>
      <c r="X123" s="1"/>
      <c r="Y123" s="1"/>
      <c r="Z123" s="1"/>
      <c r="AA123" s="1"/>
      <c r="AB123" s="1"/>
      <c r="AC123" s="1" t="s">
        <v>636</v>
      </c>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t="s">
        <v>600</v>
      </c>
      <c r="CY123" t="str">
        <f t="shared" si="2"/>
        <v>Группа потребителей</v>
      </c>
      <c r="DB123">
        <v>0</v>
      </c>
    </row>
    <row r="124" spans="3:106" ht="23.25" customHeight="1" x14ac:dyDescent="0.15">
      <c r="E124" s="1"/>
      <c r="F124" s="1"/>
      <c r="G124" s="1" t="s">
        <v>92</v>
      </c>
      <c r="H124" s="1"/>
      <c r="I124" s="1"/>
      <c r="J124" s="1"/>
      <c r="K124" s="1" t="str">
        <f>J123&amp;".1"</f>
        <v>1.4.4.1.1.1</v>
      </c>
      <c r="P124" s="1"/>
      <c r="Q124" s="1"/>
      <c r="R124">
        <v>1</v>
      </c>
      <c r="S124" t="str">
        <f>$K124</f>
        <v>1.4.4.1.1.1</v>
      </c>
      <c r="Y124" s="1"/>
      <c r="Z124" s="1" t="s">
        <v>63</v>
      </c>
      <c r="AA124" s="1"/>
      <c r="AB124" s="1" t="s">
        <v>63</v>
      </c>
      <c r="AC124">
        <v>10.51</v>
      </c>
      <c r="AF124" s="1">
        <v>45292.63858796296</v>
      </c>
      <c r="AG124" s="1" t="s">
        <v>63</v>
      </c>
      <c r="AH124" s="1">
        <v>45473.638761574075</v>
      </c>
      <c r="AI124" s="1" t="s">
        <v>63</v>
      </c>
      <c r="AJ124">
        <v>13.67</v>
      </c>
      <c r="AM124" s="1">
        <v>45474.638958333337</v>
      </c>
      <c r="AN124" s="1" t="s">
        <v>63</v>
      </c>
      <c r="AO124" s="1">
        <v>45657.639074074075</v>
      </c>
      <c r="AP124" s="1" t="s">
        <v>63</v>
      </c>
      <c r="AQ124">
        <v>13.67</v>
      </c>
      <c r="AT124" s="1">
        <v>45658.639409722222</v>
      </c>
      <c r="AU124" s="1" t="s">
        <v>63</v>
      </c>
      <c r="AV124" s="1">
        <v>45838.63957175926</v>
      </c>
      <c r="AW124" s="1" t="s">
        <v>63</v>
      </c>
      <c r="AX124">
        <v>16.88</v>
      </c>
      <c r="BA124" s="1">
        <v>45839.640057870369</v>
      </c>
      <c r="BB124" s="1" t="s">
        <v>63</v>
      </c>
      <c r="BC124" s="1">
        <v>46022.640335648146</v>
      </c>
      <c r="BD124" s="1" t="s">
        <v>63</v>
      </c>
      <c r="BE124">
        <v>16.88</v>
      </c>
      <c r="BH124" s="1">
        <v>46023.640613425923</v>
      </c>
      <c r="BI124" s="1" t="s">
        <v>63</v>
      </c>
      <c r="BJ124" s="1">
        <v>46203.640821759262</v>
      </c>
      <c r="BK124" s="1" t="s">
        <v>63</v>
      </c>
      <c r="BL124">
        <v>16.93</v>
      </c>
      <c r="BO124" s="1">
        <v>46204.641481481478</v>
      </c>
      <c r="BP124" s="1" t="s">
        <v>63</v>
      </c>
      <c r="BQ124" s="1">
        <v>46387.641793981478</v>
      </c>
      <c r="BR124" s="1" t="s">
        <v>63</v>
      </c>
      <c r="BS124">
        <v>16.93</v>
      </c>
      <c r="BV124" s="1">
        <v>46388.642916666664</v>
      </c>
      <c r="BW124" s="1" t="s">
        <v>63</v>
      </c>
      <c r="BX124" s="1">
        <v>46568.64329861111</v>
      </c>
      <c r="BY124" s="1" t="s">
        <v>63</v>
      </c>
      <c r="BZ124">
        <v>17.02</v>
      </c>
      <c r="CC124" s="1">
        <v>46569.643680555557</v>
      </c>
      <c r="CD124" s="1" t="s">
        <v>63</v>
      </c>
      <c r="CE124" s="1">
        <v>46752.643912037034</v>
      </c>
      <c r="CF124" s="1" t="s">
        <v>63</v>
      </c>
      <c r="CG124">
        <v>17.02</v>
      </c>
      <c r="CJ124" s="1">
        <v>46753.644328703704</v>
      </c>
      <c r="CK124" s="1" t="s">
        <v>63</v>
      </c>
      <c r="CL124" s="1">
        <v>46934.644606481481</v>
      </c>
      <c r="CM124" s="1" t="s">
        <v>63</v>
      </c>
      <c r="CN124">
        <v>17.12</v>
      </c>
      <c r="CQ124" s="1">
        <v>46935.644884259258</v>
      </c>
      <c r="CR124" s="1" t="s">
        <v>63</v>
      </c>
      <c r="CS124" s="1">
        <v>47118.645231481481</v>
      </c>
      <c r="CT124" s="1" t="s">
        <v>63</v>
      </c>
      <c r="CV12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24" t="e">
        <f ca="1">STRCHECKDATE(V125:CU125)</f>
        <v>#NAME?</v>
      </c>
      <c r="CY124" t="str">
        <f t="shared" si="2"/>
        <v/>
      </c>
      <c r="DB124">
        <v>0</v>
      </c>
    </row>
    <row r="125" spans="3:106" ht="14.25" customHeight="1" x14ac:dyDescent="0.15">
      <c r="E125" s="1"/>
      <c r="F125" s="1"/>
      <c r="G125" s="1" t="s">
        <v>92</v>
      </c>
      <c r="H125" s="1"/>
      <c r="I125" s="1"/>
      <c r="J125" s="1"/>
      <c r="K125" s="1"/>
      <c r="P125" s="1"/>
      <c r="Q125" s="1"/>
      <c r="X125" t="str">
        <f>Y124&amp;"-"&amp;AA124</f>
        <v>-</v>
      </c>
      <c r="Y125" s="1"/>
      <c r="Z125" s="1"/>
      <c r="AA125" s="1"/>
      <c r="AB125" s="1"/>
      <c r="AE125" t="str">
        <f>AF124&amp;"-"&amp;AH124</f>
        <v>45292,638587963-45473,6387615741</v>
      </c>
      <c r="AF125" s="1"/>
      <c r="AG125" s="1"/>
      <c r="AH125" s="1"/>
      <c r="AI125" s="1"/>
      <c r="AL125" t="str">
        <f>AM124&amp;"-"&amp;AO124</f>
        <v>45474,6389583333-45657,6390740741</v>
      </c>
      <c r="AM125" s="1"/>
      <c r="AN125" s="1"/>
      <c r="AO125" s="1"/>
      <c r="AP125" s="1"/>
      <c r="AS125" t="str">
        <f>AT124&amp;"-"&amp;AV124</f>
        <v>45658,6394097222-45838,6395717593</v>
      </c>
      <c r="AT125" s="1"/>
      <c r="AU125" s="1"/>
      <c r="AV125" s="1"/>
      <c r="AW125" s="1"/>
      <c r="AZ125" t="str">
        <f>BA124&amp;"-"&amp;BC124</f>
        <v>45839,6400578704-46022,6403356481</v>
      </c>
      <c r="BA125" s="1"/>
      <c r="BB125" s="1"/>
      <c r="BC125" s="1"/>
      <c r="BD125" s="1"/>
      <c r="BG125" t="str">
        <f>BH124&amp;"-"&amp;BJ124</f>
        <v>46023,6406134259-46203,6408217593</v>
      </c>
      <c r="BH125" s="1"/>
      <c r="BI125" s="1"/>
      <c r="BJ125" s="1"/>
      <c r="BK125" s="1"/>
      <c r="BN125" t="str">
        <f>BO124&amp;"-"&amp;BQ124</f>
        <v>46204,6414814815-46387,6417939815</v>
      </c>
      <c r="BO125" s="1"/>
      <c r="BP125" s="1"/>
      <c r="BQ125" s="1"/>
      <c r="BR125" s="1"/>
      <c r="BU125" t="str">
        <f>BV124&amp;"-"&amp;BX124</f>
        <v>46388,6429166667-46568,6432986111</v>
      </c>
      <c r="BV125" s="1"/>
      <c r="BW125" s="1"/>
      <c r="BX125" s="1"/>
      <c r="BY125" s="1"/>
      <c r="CB125" t="str">
        <f>CC124&amp;"-"&amp;CE124</f>
        <v>46569,6436805556-46752,643912037</v>
      </c>
      <c r="CC125" s="1"/>
      <c r="CD125" s="1"/>
      <c r="CE125" s="1"/>
      <c r="CF125" s="1"/>
      <c r="CI125" t="str">
        <f>CJ124&amp;"-"&amp;CL124</f>
        <v>46753,6443287037-46934,6446064815</v>
      </c>
      <c r="CJ125" s="1"/>
      <c r="CK125" s="1"/>
      <c r="CL125" s="1"/>
      <c r="CM125" s="1"/>
      <c r="CP125" t="str">
        <f>CQ124&amp;"-"&amp;CS124</f>
        <v>46935,6448842593-47118,6452314815</v>
      </c>
      <c r="CQ125" s="1"/>
      <c r="CR125" s="1"/>
      <c r="CS125" s="1"/>
      <c r="CT125" s="1"/>
      <c r="CV125" s="1"/>
      <c r="CY125" t="str">
        <f t="shared" si="2"/>
        <v/>
      </c>
      <c r="DB125">
        <v>0</v>
      </c>
    </row>
    <row r="126" spans="3:106" ht="21" customHeight="1" x14ac:dyDescent="0.15">
      <c r="E126" s="1"/>
      <c r="F126" s="1"/>
      <c r="G126" s="1" t="s">
        <v>92</v>
      </c>
      <c r="H126" s="1"/>
      <c r="I126" s="1"/>
      <c r="J126" s="1"/>
      <c r="P126" s="1"/>
      <c r="Q126" s="1"/>
      <c r="T126" t="s">
        <v>601</v>
      </c>
      <c r="CV126" t="s">
        <v>602</v>
      </c>
      <c r="CY126" t="str">
        <f t="shared" si="2"/>
        <v>Добавить значение признака дифференциации</v>
      </c>
      <c r="DB126">
        <v>0</v>
      </c>
    </row>
    <row r="127" spans="3:106" ht="23.25" customHeight="1" x14ac:dyDescent="0.15">
      <c r="E127" s="1"/>
      <c r="F127" s="1"/>
      <c r="G127" s="1"/>
      <c r="H127" s="1"/>
      <c r="I127" s="1"/>
      <c r="J127" s="1" t="str">
        <f>I122&amp;".2"</f>
        <v>1.4.4.1.2</v>
      </c>
      <c r="L127" t="s">
        <v>524</v>
      </c>
      <c r="P127" s="1"/>
      <c r="Q127" s="1" t="s">
        <v>106</v>
      </c>
      <c r="S127" t="str">
        <f>$J127</f>
        <v>1.4.4.1.2</v>
      </c>
      <c r="T127" t="s">
        <v>525</v>
      </c>
      <c r="V127" s="1"/>
      <c r="W127" s="1"/>
      <c r="X127" s="1"/>
      <c r="Y127" s="1"/>
      <c r="Z127" s="1"/>
      <c r="AA127" s="1"/>
      <c r="AB127" s="1"/>
      <c r="AC127" s="1" t="s">
        <v>637</v>
      </c>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t="s">
        <v>600</v>
      </c>
      <c r="CY127" t="str">
        <f t="shared" si="2"/>
        <v>Группа потребителей</v>
      </c>
      <c r="DB127">
        <v>0</v>
      </c>
    </row>
    <row r="128" spans="3:106" ht="23.25" customHeight="1" x14ac:dyDescent="0.15">
      <c r="E128" s="1"/>
      <c r="F128" s="1"/>
      <c r="G128" s="1"/>
      <c r="H128" s="1"/>
      <c r="I128" s="1"/>
      <c r="J128" s="1" t="str">
        <f>I122&amp;".1"</f>
        <v>1.4.4.1.1</v>
      </c>
      <c r="K128" s="1" t="str">
        <f>J127&amp;".1"</f>
        <v>1.4.4.1.2.1</v>
      </c>
      <c r="P128" s="1"/>
      <c r="Q128" s="1"/>
      <c r="R128">
        <v>1</v>
      </c>
      <c r="S128" t="str">
        <f>$K128</f>
        <v>1.4.4.1.2.1</v>
      </c>
      <c r="Y128" s="1"/>
      <c r="Z128" s="1" t="s">
        <v>63</v>
      </c>
      <c r="AA128" s="1"/>
      <c r="AB128" s="1" t="s">
        <v>63</v>
      </c>
      <c r="AC128">
        <v>8.76</v>
      </c>
      <c r="AF128" s="1">
        <v>45292.638692129629</v>
      </c>
      <c r="AG128" s="1" t="s">
        <v>63</v>
      </c>
      <c r="AH128" s="1">
        <v>45473.638831018521</v>
      </c>
      <c r="AI128" s="1" t="s">
        <v>63</v>
      </c>
      <c r="AJ128">
        <v>11.39</v>
      </c>
      <c r="AM128" s="1">
        <v>45474.639027777775</v>
      </c>
      <c r="AN128" s="1" t="s">
        <v>63</v>
      </c>
      <c r="AO128" s="1">
        <v>45657.639120370368</v>
      </c>
      <c r="AP128" s="1" t="s">
        <v>63</v>
      </c>
      <c r="AQ128">
        <v>11.39</v>
      </c>
      <c r="AT128" s="1">
        <v>45658.639525462961</v>
      </c>
      <c r="AU128" s="1" t="s">
        <v>63</v>
      </c>
      <c r="AV128" s="1">
        <v>45838.639699074076</v>
      </c>
      <c r="AW128" s="1" t="s">
        <v>63</v>
      </c>
      <c r="AX128">
        <v>14.07</v>
      </c>
      <c r="BA128" s="1">
        <v>45839.640196759261</v>
      </c>
      <c r="BB128" s="1" t="s">
        <v>63</v>
      </c>
      <c r="BC128" s="1">
        <v>46022.640439814815</v>
      </c>
      <c r="BD128" s="1" t="s">
        <v>63</v>
      </c>
      <c r="BE128">
        <v>14.07</v>
      </c>
      <c r="BH128" s="1">
        <v>46023.640752314815</v>
      </c>
      <c r="BI128" s="1" t="s">
        <v>63</v>
      </c>
      <c r="BJ128" s="1">
        <v>46203.640960648147</v>
      </c>
      <c r="BK128" s="1" t="s">
        <v>63</v>
      </c>
      <c r="BL128">
        <v>14.11</v>
      </c>
      <c r="BO128" s="1">
        <v>46204.64166666667</v>
      </c>
      <c r="BP128" s="1" t="s">
        <v>63</v>
      </c>
      <c r="BQ128" s="1">
        <v>46387.641875000001</v>
      </c>
      <c r="BR128" s="1" t="s">
        <v>63</v>
      </c>
      <c r="BS128">
        <v>14.11</v>
      </c>
      <c r="BV128" s="1">
        <v>46388.643159722225</v>
      </c>
      <c r="BW128" s="1" t="s">
        <v>63</v>
      </c>
      <c r="BX128" s="1">
        <v>46568.643437500003</v>
      </c>
      <c r="BY128" s="1" t="s">
        <v>63</v>
      </c>
      <c r="BZ128">
        <v>14.18</v>
      </c>
      <c r="CC128" s="1">
        <v>46569.643796296295</v>
      </c>
      <c r="CD128" s="1" t="s">
        <v>63</v>
      </c>
      <c r="CE128" s="1">
        <v>46752.644016203703</v>
      </c>
      <c r="CF128" s="1" t="s">
        <v>63</v>
      </c>
      <c r="CG128">
        <v>14.18</v>
      </c>
      <c r="CJ128" s="1">
        <v>46753.644490740742</v>
      </c>
      <c r="CK128" s="1" t="s">
        <v>63</v>
      </c>
      <c r="CL128" s="1">
        <v>46934.64472222222</v>
      </c>
      <c r="CM128" s="1" t="s">
        <v>63</v>
      </c>
      <c r="CN128">
        <v>14.27</v>
      </c>
      <c r="CQ128" s="1">
        <v>46935.645057870373</v>
      </c>
      <c r="CR128" s="1" t="s">
        <v>63</v>
      </c>
      <c r="CS128" s="1">
        <v>47118.645324074074</v>
      </c>
      <c r="CT128" s="1" t="s">
        <v>63</v>
      </c>
      <c r="CV12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28" t="e">
        <f ca="1">STRCHECKDATE(V129:CU129)</f>
        <v>#NAME?</v>
      </c>
      <c r="CY128" t="str">
        <f t="shared" si="2"/>
        <v/>
      </c>
      <c r="DB128">
        <v>0</v>
      </c>
    </row>
    <row r="129" spans="3:106" ht="14.25" customHeight="1" x14ac:dyDescent="0.15">
      <c r="E129" s="1"/>
      <c r="F129" s="1"/>
      <c r="G129" s="1"/>
      <c r="H129" s="1"/>
      <c r="I129" s="1"/>
      <c r="J129" s="1" t="str">
        <f>I122&amp;".1"</f>
        <v>1.4.4.1.1</v>
      </c>
      <c r="K129" s="1"/>
      <c r="P129" s="1"/>
      <c r="Q129" s="1"/>
      <c r="X129" t="str">
        <f>Y128&amp;"-"&amp;AA128</f>
        <v>-</v>
      </c>
      <c r="Y129" s="1"/>
      <c r="Z129" s="1"/>
      <c r="AA129" s="1"/>
      <c r="AB129" s="1"/>
      <c r="AE129" t="str">
        <f>AF128&amp;"-"&amp;AH128</f>
        <v>45292,6386921296-45473,6388310185</v>
      </c>
      <c r="AF129" s="1"/>
      <c r="AG129" s="1"/>
      <c r="AH129" s="1"/>
      <c r="AI129" s="1"/>
      <c r="AL129" t="str">
        <f>AM128&amp;"-"&amp;AO128</f>
        <v>45474,6390277778-45657,6391203704</v>
      </c>
      <c r="AM129" s="1"/>
      <c r="AN129" s="1"/>
      <c r="AO129" s="1"/>
      <c r="AP129" s="1"/>
      <c r="AS129" t="str">
        <f>AT128&amp;"-"&amp;AV128</f>
        <v>45658,639525463-45838,6396990741</v>
      </c>
      <c r="AT129" s="1"/>
      <c r="AU129" s="1"/>
      <c r="AV129" s="1"/>
      <c r="AW129" s="1"/>
      <c r="AZ129" t="str">
        <f>BA128&amp;"-"&amp;BC128</f>
        <v>45839,6401967593-46022,6404398148</v>
      </c>
      <c r="BA129" s="1"/>
      <c r="BB129" s="1"/>
      <c r="BC129" s="1"/>
      <c r="BD129" s="1"/>
      <c r="BG129" t="str">
        <f>BH128&amp;"-"&amp;BJ128</f>
        <v>46023,6407523148-46203,6409606481</v>
      </c>
      <c r="BH129" s="1"/>
      <c r="BI129" s="1"/>
      <c r="BJ129" s="1"/>
      <c r="BK129" s="1"/>
      <c r="BN129" t="str">
        <f>BO128&amp;"-"&amp;BQ128</f>
        <v>46204,6416666667-46387,641875</v>
      </c>
      <c r="BO129" s="1"/>
      <c r="BP129" s="1"/>
      <c r="BQ129" s="1"/>
      <c r="BR129" s="1"/>
      <c r="BU129" t="str">
        <f>BV128&amp;"-"&amp;BX128</f>
        <v>46388,6431597222-46568,6434375</v>
      </c>
      <c r="BV129" s="1"/>
      <c r="BW129" s="1"/>
      <c r="BX129" s="1"/>
      <c r="BY129" s="1"/>
      <c r="CB129" t="str">
        <f>CC128&amp;"-"&amp;CE128</f>
        <v>46569,6437962963-46752,6440162037</v>
      </c>
      <c r="CC129" s="1"/>
      <c r="CD129" s="1"/>
      <c r="CE129" s="1"/>
      <c r="CF129" s="1"/>
      <c r="CI129" t="str">
        <f>CJ128&amp;"-"&amp;CL128</f>
        <v>46753,6444907407-46934,6447222222</v>
      </c>
      <c r="CJ129" s="1"/>
      <c r="CK129" s="1"/>
      <c r="CL129" s="1"/>
      <c r="CM129" s="1"/>
      <c r="CP129" t="str">
        <f>CQ128&amp;"-"&amp;CS128</f>
        <v>46935,6450578704-47118,6453240741</v>
      </c>
      <c r="CQ129" s="1"/>
      <c r="CR129" s="1"/>
      <c r="CS129" s="1"/>
      <c r="CT129" s="1"/>
      <c r="CV129" s="1"/>
      <c r="CY129" t="str">
        <f t="shared" si="2"/>
        <v/>
      </c>
      <c r="DB129">
        <v>0</v>
      </c>
    </row>
    <row r="130" spans="3:106" ht="21" customHeight="1" x14ac:dyDescent="0.15">
      <c r="E130" s="1"/>
      <c r="F130" s="1"/>
      <c r="G130" s="1"/>
      <c r="H130" s="1"/>
      <c r="I130" s="1"/>
      <c r="J130" s="1" t="str">
        <f>I122&amp;".1"</f>
        <v>1.4.4.1.1</v>
      </c>
      <c r="P130" s="1"/>
      <c r="Q130" s="1"/>
      <c r="T130" t="s">
        <v>601</v>
      </c>
      <c r="CV130" t="s">
        <v>602</v>
      </c>
      <c r="CY130" t="str">
        <f t="shared" si="2"/>
        <v>Добавить значение признака дифференциации</v>
      </c>
      <c r="DB130">
        <v>0</v>
      </c>
    </row>
    <row r="131" spans="3:106" ht="21" customHeight="1" x14ac:dyDescent="0.15">
      <c r="E131" s="1"/>
      <c r="F131" s="1"/>
      <c r="G131" s="1" t="s">
        <v>92</v>
      </c>
      <c r="H131" s="1"/>
      <c r="I131" s="1"/>
      <c r="P131" s="1"/>
      <c r="T131" t="s">
        <v>530</v>
      </c>
      <c r="CY131" t="str">
        <f t="shared" si="2"/>
        <v>Добавить группу потребителей</v>
      </c>
      <c r="DB131">
        <v>0</v>
      </c>
    </row>
    <row r="132" spans="3:106" ht="21" customHeight="1" x14ac:dyDescent="0.15">
      <c r="E132" s="1"/>
      <c r="F132" s="1"/>
      <c r="G132" s="1" t="s">
        <v>92</v>
      </c>
      <c r="H132" s="1"/>
      <c r="T132" t="s">
        <v>603</v>
      </c>
      <c r="CY132" t="str">
        <f t="shared" si="2"/>
        <v>Добавить наименование признака дифференциации</v>
      </c>
      <c r="DB132">
        <v>0</v>
      </c>
    </row>
    <row r="133" spans="3:106" ht="23.25" customHeight="1" x14ac:dyDescent="0.15">
      <c r="C133" t="s">
        <v>344</v>
      </c>
      <c r="E133" s="1"/>
      <c r="F133" s="1"/>
      <c r="G133" s="1" t="s">
        <v>120</v>
      </c>
      <c r="S133" t="str">
        <f>INDEX(PT_DIFFERENTIATION_NUM_CS,MATCH(C133,PT_DIFFERENTIATION_CS_ID,0))</f>
        <v>1.4.5</v>
      </c>
      <c r="T133" t="s">
        <v>631</v>
      </c>
      <c r="V133" s="1"/>
      <c r="W133" s="1"/>
      <c r="X133" s="1"/>
      <c r="Y133" s="1"/>
      <c r="Z133" s="1"/>
      <c r="AA133" s="1"/>
      <c r="AB133" s="1"/>
      <c r="AC133" s="1" t="str">
        <f>INDEX(PT_DIFFERENTIATION_CS,MATCH(C133,PT_DIFFERENTIATION_CS_ID,0))</f>
        <v>пгт. Приморский</v>
      </c>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t="s">
        <v>632</v>
      </c>
      <c r="CY133" t="str">
        <f t="shared" si="2"/>
        <v>Наименование централизованной системы водоотведения</v>
      </c>
      <c r="DB133">
        <v>0</v>
      </c>
    </row>
    <row r="134" spans="3:106" ht="23.25" customHeight="1" x14ac:dyDescent="0.15">
      <c r="E134" s="1"/>
      <c r="F134" s="1"/>
      <c r="G134" s="1" t="s">
        <v>93</v>
      </c>
      <c r="H134" s="1"/>
      <c r="I134" s="1" t="str">
        <f>S133&amp;".1"</f>
        <v>1.4.5.1</v>
      </c>
      <c r="P134" s="1">
        <v>1</v>
      </c>
      <c r="S134" t="str">
        <f>$I134</f>
        <v>1.4.5.1</v>
      </c>
      <c r="T134" t="s">
        <v>598</v>
      </c>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t="s">
        <v>599</v>
      </c>
      <c r="CY134" t="str">
        <f t="shared" si="2"/>
        <v>Наименование признака дифференциации</v>
      </c>
      <c r="DB134">
        <v>0</v>
      </c>
    </row>
    <row r="135" spans="3:106" ht="23.25" customHeight="1" x14ac:dyDescent="0.15">
      <c r="E135" s="1"/>
      <c r="F135" s="1"/>
      <c r="G135" s="1" t="s">
        <v>93</v>
      </c>
      <c r="H135" s="1"/>
      <c r="I135" s="1"/>
      <c r="J135" s="1" t="str">
        <f>I134&amp;".1"</f>
        <v>1.4.5.1.1</v>
      </c>
      <c r="L135" t="s">
        <v>524</v>
      </c>
      <c r="P135" s="1"/>
      <c r="Q135" s="1">
        <v>1</v>
      </c>
      <c r="S135" t="str">
        <f>$J135</f>
        <v>1.4.5.1.1</v>
      </c>
      <c r="T135" t="s">
        <v>525</v>
      </c>
      <c r="V135" s="1"/>
      <c r="W135" s="1"/>
      <c r="X135" s="1"/>
      <c r="Y135" s="1"/>
      <c r="Z135" s="1"/>
      <c r="AA135" s="1"/>
      <c r="AB135" s="1"/>
      <c r="AC135" s="1" t="s">
        <v>636</v>
      </c>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t="s">
        <v>600</v>
      </c>
      <c r="CY135" t="str">
        <f t="shared" si="2"/>
        <v>Группа потребителей</v>
      </c>
      <c r="DB135">
        <v>0</v>
      </c>
    </row>
    <row r="136" spans="3:106" ht="23.25" customHeight="1" x14ac:dyDescent="0.15">
      <c r="E136" s="1"/>
      <c r="F136" s="1"/>
      <c r="G136" s="1" t="s">
        <v>93</v>
      </c>
      <c r="H136" s="1"/>
      <c r="I136" s="1"/>
      <c r="J136" s="1"/>
      <c r="K136" s="1" t="str">
        <f>J135&amp;".1"</f>
        <v>1.4.5.1.1.1</v>
      </c>
      <c r="P136" s="1"/>
      <c r="Q136" s="1"/>
      <c r="R136">
        <v>1</v>
      </c>
      <c r="S136" t="str">
        <f>$K136</f>
        <v>1.4.5.1.1.1</v>
      </c>
      <c r="Y136" s="1"/>
      <c r="Z136" s="1" t="s">
        <v>63</v>
      </c>
      <c r="AA136" s="1"/>
      <c r="AB136" s="1" t="s">
        <v>63</v>
      </c>
      <c r="AC136">
        <v>12.6</v>
      </c>
      <c r="AF136" s="1">
        <v>45292.666759259257</v>
      </c>
      <c r="AG136" s="1" t="s">
        <v>63</v>
      </c>
      <c r="AH136" s="1">
        <v>45473.667187500003</v>
      </c>
      <c r="AI136" s="1" t="s">
        <v>63</v>
      </c>
      <c r="AJ136">
        <v>16.38</v>
      </c>
      <c r="AM136" s="1">
        <v>45474.667638888888</v>
      </c>
      <c r="AN136" s="1" t="s">
        <v>63</v>
      </c>
      <c r="AO136" s="1">
        <v>45657.667824074073</v>
      </c>
      <c r="AP136" s="1" t="s">
        <v>63</v>
      </c>
      <c r="AQ136">
        <v>16.38</v>
      </c>
      <c r="AT136" s="1">
        <v>45658.668182870373</v>
      </c>
      <c r="AU136" s="1" t="s">
        <v>63</v>
      </c>
      <c r="AV136" s="1">
        <v>45838.668298611112</v>
      </c>
      <c r="AW136" s="1" t="s">
        <v>63</v>
      </c>
      <c r="AX136">
        <v>20.48</v>
      </c>
      <c r="BA136" s="1">
        <v>45839.668969907405</v>
      </c>
      <c r="BB136" s="1" t="s">
        <v>63</v>
      </c>
      <c r="BC136" s="1">
        <v>46022.66920138889</v>
      </c>
      <c r="BD136" s="1" t="s">
        <v>63</v>
      </c>
      <c r="BE136">
        <v>18.28</v>
      </c>
      <c r="BH136" s="1">
        <v>46023.669490740744</v>
      </c>
      <c r="BI136" s="1" t="s">
        <v>63</v>
      </c>
      <c r="BJ136" s="1">
        <v>46203.669675925928</v>
      </c>
      <c r="BK136" s="1" t="s">
        <v>63</v>
      </c>
      <c r="BL136">
        <v>18.28</v>
      </c>
      <c r="BO136" s="1">
        <v>46204.67046296296</v>
      </c>
      <c r="BP136" s="1" t="s">
        <v>63</v>
      </c>
      <c r="BQ136" s="1">
        <v>46387.670925925922</v>
      </c>
      <c r="BR136" s="1" t="s">
        <v>63</v>
      </c>
      <c r="BS136">
        <v>18.28</v>
      </c>
      <c r="BV136" s="1">
        <v>46388.671215277776</v>
      </c>
      <c r="BW136" s="1" t="s">
        <v>63</v>
      </c>
      <c r="BX136" s="1">
        <v>46568.671423611115</v>
      </c>
      <c r="BY136" s="1" t="s">
        <v>63</v>
      </c>
      <c r="BZ136">
        <v>18.38</v>
      </c>
      <c r="CC136" s="1">
        <v>46569.671782407408</v>
      </c>
      <c r="CD136" s="1" t="s">
        <v>63</v>
      </c>
      <c r="CE136" s="1">
        <v>46752.671979166669</v>
      </c>
      <c r="CF136" s="1" t="s">
        <v>63</v>
      </c>
      <c r="CG136">
        <v>18.38</v>
      </c>
      <c r="CJ136" s="1">
        <v>46753.672280092593</v>
      </c>
      <c r="CK136" s="1" t="s">
        <v>63</v>
      </c>
      <c r="CL136" s="1">
        <v>46934.672638888886</v>
      </c>
      <c r="CM136" s="1" t="s">
        <v>63</v>
      </c>
      <c r="CN136">
        <v>19.440000000000001</v>
      </c>
      <c r="CQ136" s="1">
        <v>46935.672847222224</v>
      </c>
      <c r="CR136" s="1" t="s">
        <v>63</v>
      </c>
      <c r="CS136" s="1">
        <v>47118.673136574071</v>
      </c>
      <c r="CT136" s="1" t="s">
        <v>63</v>
      </c>
      <c r="CV13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36" t="e">
        <f ca="1">STRCHECKDATE(V137:CU137)</f>
        <v>#NAME?</v>
      </c>
      <c r="CY136" t="str">
        <f t="shared" si="2"/>
        <v/>
      </c>
      <c r="DB136">
        <v>0</v>
      </c>
    </row>
    <row r="137" spans="3:106" ht="14.25" customHeight="1" x14ac:dyDescent="0.15">
      <c r="E137" s="1"/>
      <c r="F137" s="1"/>
      <c r="G137" s="1" t="s">
        <v>93</v>
      </c>
      <c r="H137" s="1"/>
      <c r="I137" s="1"/>
      <c r="J137" s="1"/>
      <c r="K137" s="1"/>
      <c r="P137" s="1"/>
      <c r="Q137" s="1"/>
      <c r="X137" t="str">
        <f>Y136&amp;"-"&amp;AA136</f>
        <v>-</v>
      </c>
      <c r="Y137" s="1"/>
      <c r="Z137" s="1"/>
      <c r="AA137" s="1"/>
      <c r="AB137" s="1"/>
      <c r="AE137" t="str">
        <f>AF136&amp;"-"&amp;AH136</f>
        <v>45292,6667592593-45473,6671875</v>
      </c>
      <c r="AF137" s="1"/>
      <c r="AG137" s="1"/>
      <c r="AH137" s="1"/>
      <c r="AI137" s="1"/>
      <c r="AL137" t="str">
        <f>AM136&amp;"-"&amp;AO136</f>
        <v>45474,6676388889-45657,6678240741</v>
      </c>
      <c r="AM137" s="1"/>
      <c r="AN137" s="1"/>
      <c r="AO137" s="1"/>
      <c r="AP137" s="1"/>
      <c r="AS137" t="str">
        <f>AT136&amp;"-"&amp;AV136</f>
        <v>45658,6681828703-45838,6682986111</v>
      </c>
      <c r="AT137" s="1"/>
      <c r="AU137" s="1"/>
      <c r="AV137" s="1"/>
      <c r="AW137" s="1"/>
      <c r="AZ137" t="str">
        <f>BA136&amp;"-"&amp;BC136</f>
        <v>45839,6689699074-46022,6692013889</v>
      </c>
      <c r="BA137" s="1"/>
      <c r="BB137" s="1"/>
      <c r="BC137" s="1"/>
      <c r="BD137" s="1"/>
      <c r="BG137" t="str">
        <f>BH136&amp;"-"&amp;BJ136</f>
        <v>46023,6694907407-46203,6696759259</v>
      </c>
      <c r="BH137" s="1"/>
      <c r="BI137" s="1"/>
      <c r="BJ137" s="1"/>
      <c r="BK137" s="1"/>
      <c r="BN137" t="str">
        <f>BO136&amp;"-"&amp;BQ136</f>
        <v>46204,670462963-46387,6709259259</v>
      </c>
      <c r="BO137" s="1"/>
      <c r="BP137" s="1"/>
      <c r="BQ137" s="1"/>
      <c r="BR137" s="1"/>
      <c r="BU137" t="str">
        <f>BV136&amp;"-"&amp;BX136</f>
        <v>46388,6712152778-46568,6714236111</v>
      </c>
      <c r="BV137" s="1"/>
      <c r="BW137" s="1"/>
      <c r="BX137" s="1"/>
      <c r="BY137" s="1"/>
      <c r="CB137" t="str">
        <f>CC136&amp;"-"&amp;CE136</f>
        <v>46569,6717824074-46752,6719791667</v>
      </c>
      <c r="CC137" s="1"/>
      <c r="CD137" s="1"/>
      <c r="CE137" s="1"/>
      <c r="CF137" s="1"/>
      <c r="CI137" t="str">
        <f>CJ136&amp;"-"&amp;CL136</f>
        <v>46753,6722800926-46934,6726388889</v>
      </c>
      <c r="CJ137" s="1"/>
      <c r="CK137" s="1"/>
      <c r="CL137" s="1"/>
      <c r="CM137" s="1"/>
      <c r="CP137" t="str">
        <f>CQ136&amp;"-"&amp;CS136</f>
        <v>46935,6728472222-47118,6731365741</v>
      </c>
      <c r="CQ137" s="1"/>
      <c r="CR137" s="1"/>
      <c r="CS137" s="1"/>
      <c r="CT137" s="1"/>
      <c r="CV137" s="1"/>
      <c r="CY137" t="str">
        <f t="shared" si="2"/>
        <v/>
      </c>
      <c r="DB137">
        <v>0</v>
      </c>
    </row>
    <row r="138" spans="3:106" ht="21" customHeight="1" x14ac:dyDescent="0.15">
      <c r="E138" s="1"/>
      <c r="F138" s="1"/>
      <c r="G138" s="1" t="s">
        <v>93</v>
      </c>
      <c r="H138" s="1"/>
      <c r="I138" s="1"/>
      <c r="J138" s="1"/>
      <c r="P138" s="1"/>
      <c r="Q138" s="1"/>
      <c r="T138" t="s">
        <v>601</v>
      </c>
      <c r="CV138" t="s">
        <v>602</v>
      </c>
      <c r="CY138" t="str">
        <f t="shared" si="2"/>
        <v>Добавить значение признака дифференциации</v>
      </c>
      <c r="DB138">
        <v>0</v>
      </c>
    </row>
    <row r="139" spans="3:106" ht="23.25" customHeight="1" x14ac:dyDescent="0.15">
      <c r="E139" s="1"/>
      <c r="F139" s="1"/>
      <c r="G139" s="1"/>
      <c r="H139" s="1"/>
      <c r="I139" s="1"/>
      <c r="J139" s="1" t="str">
        <f>I134&amp;".2"</f>
        <v>1.4.5.1.2</v>
      </c>
      <c r="L139" t="s">
        <v>524</v>
      </c>
      <c r="P139" s="1"/>
      <c r="Q139" s="1" t="s">
        <v>106</v>
      </c>
      <c r="S139" t="str">
        <f>$J139</f>
        <v>1.4.5.1.2</v>
      </c>
      <c r="T139" t="s">
        <v>525</v>
      </c>
      <c r="V139" s="1"/>
      <c r="W139" s="1"/>
      <c r="X139" s="1"/>
      <c r="Y139" s="1"/>
      <c r="Z139" s="1"/>
      <c r="AA139" s="1"/>
      <c r="AB139" s="1"/>
      <c r="AC139" s="1" t="s">
        <v>637</v>
      </c>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t="s">
        <v>600</v>
      </c>
      <c r="CY139" t="str">
        <f t="shared" si="2"/>
        <v>Группа потребителей</v>
      </c>
      <c r="DB139">
        <v>0</v>
      </c>
    </row>
    <row r="140" spans="3:106" ht="23.25" customHeight="1" x14ac:dyDescent="0.15">
      <c r="E140" s="1"/>
      <c r="F140" s="1"/>
      <c r="G140" s="1"/>
      <c r="H140" s="1"/>
      <c r="I140" s="1"/>
      <c r="J140" s="1" t="str">
        <f>I134&amp;".1"</f>
        <v>1.4.5.1.1</v>
      </c>
      <c r="K140" s="1" t="str">
        <f>J139&amp;".1"</f>
        <v>1.4.5.1.2.1</v>
      </c>
      <c r="P140" s="1"/>
      <c r="Q140" s="1"/>
      <c r="R140">
        <v>1</v>
      </c>
      <c r="S140" t="str">
        <f>$K140</f>
        <v>1.4.5.1.2.1</v>
      </c>
      <c r="Y140" s="1"/>
      <c r="Z140" s="1" t="s">
        <v>63</v>
      </c>
      <c r="AA140" s="1"/>
      <c r="AB140" s="1" t="s">
        <v>63</v>
      </c>
      <c r="AC140">
        <v>10.5</v>
      </c>
      <c r="AF140" s="1">
        <v>45292.666851851849</v>
      </c>
      <c r="AG140" s="1" t="s">
        <v>63</v>
      </c>
      <c r="AH140" s="1">
        <v>45473.66746527778</v>
      </c>
      <c r="AI140" s="1" t="s">
        <v>63</v>
      </c>
      <c r="AJ140">
        <v>13.65</v>
      </c>
      <c r="AM140" s="1">
        <v>45474.667754629627</v>
      </c>
      <c r="AN140" s="1" t="s">
        <v>63</v>
      </c>
      <c r="AO140" s="1">
        <v>45657.667881944442</v>
      </c>
      <c r="AP140" s="1" t="s">
        <v>63</v>
      </c>
      <c r="AQ140">
        <v>13.65</v>
      </c>
      <c r="AT140" s="1">
        <v>45658.668263888889</v>
      </c>
      <c r="AU140" s="1" t="s">
        <v>63</v>
      </c>
      <c r="AV140" s="1">
        <v>45838.668402777781</v>
      </c>
      <c r="AW140" s="1" t="s">
        <v>63</v>
      </c>
      <c r="AX140">
        <v>17.07</v>
      </c>
      <c r="BA140" s="1">
        <v>45839.669074074074</v>
      </c>
      <c r="BB140" s="1" t="s">
        <v>63</v>
      </c>
      <c r="BC140" s="1">
        <v>46022.669293981482</v>
      </c>
      <c r="BD140" s="1" t="s">
        <v>63</v>
      </c>
      <c r="BE140">
        <v>15.23</v>
      </c>
      <c r="BH140" s="1">
        <v>46023.669594907406</v>
      </c>
      <c r="BI140" s="1" t="s">
        <v>63</v>
      </c>
      <c r="BJ140" s="1">
        <v>46203.669895833336</v>
      </c>
      <c r="BK140" s="1" t="s">
        <v>63</v>
      </c>
      <c r="BL140">
        <v>15.23</v>
      </c>
      <c r="BO140" s="1">
        <v>46204.670682870368</v>
      </c>
      <c r="BP140" s="1" t="s">
        <v>63</v>
      </c>
      <c r="BQ140" s="1">
        <v>46387.670995370368</v>
      </c>
      <c r="BR140" s="1" t="s">
        <v>63</v>
      </c>
      <c r="BS140">
        <v>15.23</v>
      </c>
      <c r="BV140" s="1">
        <v>46388.671342592592</v>
      </c>
      <c r="BW140" s="1" t="s">
        <v>63</v>
      </c>
      <c r="BX140" s="1">
        <v>46568.671631944446</v>
      </c>
      <c r="BY140" s="1" t="s">
        <v>63</v>
      </c>
      <c r="BZ140">
        <v>15.32</v>
      </c>
      <c r="CC140" s="1">
        <v>46569.671886574077</v>
      </c>
      <c r="CD140" s="1" t="s">
        <v>63</v>
      </c>
      <c r="CE140" s="1">
        <v>46752.672106481485</v>
      </c>
      <c r="CF140" s="1" t="s">
        <v>63</v>
      </c>
      <c r="CG140">
        <v>15.32</v>
      </c>
      <c r="CJ140" s="1">
        <v>46753.672418981485</v>
      </c>
      <c r="CK140" s="1" t="s">
        <v>63</v>
      </c>
      <c r="CL140" s="1">
        <v>46934.672731481478</v>
      </c>
      <c r="CM140" s="1" t="s">
        <v>63</v>
      </c>
      <c r="CN140">
        <v>16.2</v>
      </c>
      <c r="CQ140" s="1">
        <v>46935.672997685186</v>
      </c>
      <c r="CR140" s="1" t="s">
        <v>63</v>
      </c>
      <c r="CS140" s="1">
        <v>47118.67328703704</v>
      </c>
      <c r="CT140" s="1" t="s">
        <v>63</v>
      </c>
      <c r="CV14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40" t="e">
        <f ca="1">STRCHECKDATE(V141:CU141)</f>
        <v>#NAME?</v>
      </c>
      <c r="CY140" t="str">
        <f t="shared" si="2"/>
        <v/>
      </c>
      <c r="DB140">
        <v>0</v>
      </c>
    </row>
    <row r="141" spans="3:106" ht="14.25" customHeight="1" x14ac:dyDescent="0.15">
      <c r="E141" s="1"/>
      <c r="F141" s="1"/>
      <c r="G141" s="1"/>
      <c r="H141" s="1"/>
      <c r="I141" s="1"/>
      <c r="J141" s="1" t="str">
        <f>I134&amp;".1"</f>
        <v>1.4.5.1.1</v>
      </c>
      <c r="K141" s="1"/>
      <c r="P141" s="1"/>
      <c r="Q141" s="1"/>
      <c r="X141" t="str">
        <f>Y140&amp;"-"&amp;AA140</f>
        <v>-</v>
      </c>
      <c r="Y141" s="1"/>
      <c r="Z141" s="1"/>
      <c r="AA141" s="1"/>
      <c r="AB141" s="1"/>
      <c r="AE141" t="str">
        <f>AF140&amp;"-"&amp;AH140</f>
        <v>45292,6668518518-45473,6674652778</v>
      </c>
      <c r="AF141" s="1"/>
      <c r="AG141" s="1"/>
      <c r="AH141" s="1"/>
      <c r="AI141" s="1"/>
      <c r="AL141" t="str">
        <f>AM140&amp;"-"&amp;AO140</f>
        <v>45474,6677546296-45657,6678819444</v>
      </c>
      <c r="AM141" s="1"/>
      <c r="AN141" s="1"/>
      <c r="AO141" s="1"/>
      <c r="AP141" s="1"/>
      <c r="AS141" t="str">
        <f>AT140&amp;"-"&amp;AV140</f>
        <v>45658,6682638889-45838,6684027778</v>
      </c>
      <c r="AT141" s="1"/>
      <c r="AU141" s="1"/>
      <c r="AV141" s="1"/>
      <c r="AW141" s="1"/>
      <c r="AZ141" t="str">
        <f>BA140&amp;"-"&amp;BC140</f>
        <v>45839,6690740741-46022,6692939815</v>
      </c>
      <c r="BA141" s="1"/>
      <c r="BB141" s="1"/>
      <c r="BC141" s="1"/>
      <c r="BD141" s="1"/>
      <c r="BG141" t="str">
        <f>BH140&amp;"-"&amp;BJ140</f>
        <v>46023,6695949074-46203,6698958333</v>
      </c>
      <c r="BH141" s="1"/>
      <c r="BI141" s="1"/>
      <c r="BJ141" s="1"/>
      <c r="BK141" s="1"/>
      <c r="BN141" t="str">
        <f>BO140&amp;"-"&amp;BQ140</f>
        <v>46204,6706828704-46387,6709953704</v>
      </c>
      <c r="BO141" s="1"/>
      <c r="BP141" s="1"/>
      <c r="BQ141" s="1"/>
      <c r="BR141" s="1"/>
      <c r="BU141" t="str">
        <f>BV140&amp;"-"&amp;BX140</f>
        <v>46388,6713425926-46568,6716319444</v>
      </c>
      <c r="BV141" s="1"/>
      <c r="BW141" s="1"/>
      <c r="BX141" s="1"/>
      <c r="BY141" s="1"/>
      <c r="CB141" t="str">
        <f>CC140&amp;"-"&amp;CE140</f>
        <v>46569,6718865741-46752,6721064815</v>
      </c>
      <c r="CC141" s="1"/>
      <c r="CD141" s="1"/>
      <c r="CE141" s="1"/>
      <c r="CF141" s="1"/>
      <c r="CI141" t="str">
        <f>CJ140&amp;"-"&amp;CL140</f>
        <v>46753,6724189815-46934,6727314815</v>
      </c>
      <c r="CJ141" s="1"/>
      <c r="CK141" s="1"/>
      <c r="CL141" s="1"/>
      <c r="CM141" s="1"/>
      <c r="CP141" t="str">
        <f>CQ140&amp;"-"&amp;CS140</f>
        <v>46935,6729976852-47118,673287037</v>
      </c>
      <c r="CQ141" s="1"/>
      <c r="CR141" s="1"/>
      <c r="CS141" s="1"/>
      <c r="CT141" s="1"/>
      <c r="CV141" s="1"/>
      <c r="CY141" t="str">
        <f t="shared" si="2"/>
        <v/>
      </c>
      <c r="DB141">
        <v>0</v>
      </c>
    </row>
    <row r="142" spans="3:106" ht="21" customHeight="1" x14ac:dyDescent="0.15">
      <c r="E142" s="1"/>
      <c r="F142" s="1"/>
      <c r="G142" s="1"/>
      <c r="H142" s="1"/>
      <c r="I142" s="1"/>
      <c r="J142" s="1" t="str">
        <f>I134&amp;".1"</f>
        <v>1.4.5.1.1</v>
      </c>
      <c r="P142" s="1"/>
      <c r="Q142" s="1"/>
      <c r="T142" t="s">
        <v>601</v>
      </c>
      <c r="CV142" t="s">
        <v>602</v>
      </c>
      <c r="CY142" t="str">
        <f t="shared" si="2"/>
        <v>Добавить значение признака дифференциации</v>
      </c>
      <c r="DB142">
        <v>0</v>
      </c>
    </row>
    <row r="143" spans="3:106" ht="21" customHeight="1" x14ac:dyDescent="0.15">
      <c r="E143" s="1"/>
      <c r="F143" s="1"/>
      <c r="G143" s="1" t="s">
        <v>93</v>
      </c>
      <c r="H143" s="1"/>
      <c r="I143" s="1"/>
      <c r="P143" s="1"/>
      <c r="T143" t="s">
        <v>530</v>
      </c>
      <c r="CY143" t="str">
        <f t="shared" si="2"/>
        <v>Добавить группу потребителей</v>
      </c>
      <c r="DB143">
        <v>0</v>
      </c>
    </row>
    <row r="144" spans="3:106" ht="21" customHeight="1" x14ac:dyDescent="0.15">
      <c r="E144" s="1"/>
      <c r="F144" s="1"/>
      <c r="G144" s="1" t="s">
        <v>93</v>
      </c>
      <c r="H144" s="1"/>
      <c r="T144" t="s">
        <v>603</v>
      </c>
      <c r="CY144" t="str">
        <f t="shared" si="2"/>
        <v>Добавить наименование признака дифференциации</v>
      </c>
      <c r="DB144">
        <v>0</v>
      </c>
    </row>
    <row r="145" spans="2:106" ht="14.25" customHeight="1" x14ac:dyDescent="0.15">
      <c r="E145" s="1"/>
      <c r="F145" s="1" t="s">
        <v>92</v>
      </c>
      <c r="T145" t="s">
        <v>321</v>
      </c>
      <c r="CY145" t="str">
        <f t="shared" si="2"/>
        <v>Добавить централизованную систему для дифференциации</v>
      </c>
      <c r="DB145">
        <v>0</v>
      </c>
    </row>
    <row r="146" spans="2:106" ht="23.25" customHeight="1" x14ac:dyDescent="0.15">
      <c r="B146" t="s">
        <v>347</v>
      </c>
      <c r="E146" s="1"/>
      <c r="F146" s="1" t="s">
        <v>120</v>
      </c>
      <c r="S146" t="str">
        <f>INDEX(PT_DIFFERENTIATION_NUM_TER,MATCH(B146,PT_DIFFERENTIATION_TER_ID,0))</f>
        <v>1.5</v>
      </c>
      <c r="T146" t="s">
        <v>515</v>
      </c>
      <c r="V146" s="1"/>
      <c r="W146" s="1"/>
      <c r="X146" s="1"/>
      <c r="Y146" s="1"/>
      <c r="Z146" s="1"/>
      <c r="AA146" s="1"/>
      <c r="AB146" s="1"/>
      <c r="AC146" s="1" t="str">
        <f>INDEX(PT_DIFFERENTIATION_TER,MATCH(B146,PT_DIFFERENTIATION_TER_ID,0))</f>
        <v>Территория 5</v>
      </c>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t="s">
        <v>516</v>
      </c>
      <c r="CY146" t="str">
        <f t="shared" si="2"/>
        <v>Территория действия тарифа</v>
      </c>
      <c r="DB146">
        <v>0</v>
      </c>
    </row>
    <row r="147" spans="2:106" ht="23.25" customHeight="1" x14ac:dyDescent="0.15">
      <c r="C147" t="s">
        <v>348</v>
      </c>
      <c r="E147" s="1"/>
      <c r="F147" s="1" t="s">
        <v>93</v>
      </c>
      <c r="G147" s="1">
        <v>1</v>
      </c>
      <c r="S147" t="str">
        <f>INDEX(PT_DIFFERENTIATION_NUM_CS,MATCH(C147,PT_DIFFERENTIATION_CS_ID,0))</f>
        <v>1.5.1</v>
      </c>
      <c r="T147" t="s">
        <v>631</v>
      </c>
      <c r="V147" s="1"/>
      <c r="W147" s="1"/>
      <c r="X147" s="1"/>
      <c r="Y147" s="1"/>
      <c r="Z147" s="1"/>
      <c r="AA147" s="1"/>
      <c r="AB147" s="1"/>
      <c r="AC147" s="1" t="str">
        <f>INDEX(PT_DIFFERENTIATION_CS,MATCH(C147,PT_DIFFERENTIATION_CS_ID,0))</f>
        <v>с. Дмитриевка, с. Майское</v>
      </c>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t="s">
        <v>632</v>
      </c>
      <c r="CY147" t="str">
        <f t="shared" si="2"/>
        <v>Наименование централизованной системы водоотведения</v>
      </c>
      <c r="DB147">
        <v>0</v>
      </c>
    </row>
    <row r="148" spans="2:106" ht="23.25" customHeight="1" x14ac:dyDescent="0.15">
      <c r="E148" s="1"/>
      <c r="F148" s="1" t="s">
        <v>93</v>
      </c>
      <c r="G148" s="1"/>
      <c r="H148" s="1"/>
      <c r="I148" s="1" t="str">
        <f>S147&amp;".1"</f>
        <v>1.5.1.1</v>
      </c>
      <c r="P148" s="1">
        <v>1</v>
      </c>
      <c r="S148" t="str">
        <f>$I148</f>
        <v>1.5.1.1</v>
      </c>
      <c r="T148" t="s">
        <v>598</v>
      </c>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t="s">
        <v>599</v>
      </c>
      <c r="CY148" t="str">
        <f t="shared" si="2"/>
        <v>Наименование признака дифференциации</v>
      </c>
      <c r="DB148">
        <v>0</v>
      </c>
    </row>
    <row r="149" spans="2:106" ht="23.25" customHeight="1" x14ac:dyDescent="0.15">
      <c r="E149" s="1"/>
      <c r="F149" s="1" t="s">
        <v>93</v>
      </c>
      <c r="G149" s="1"/>
      <c r="H149" s="1"/>
      <c r="I149" s="1"/>
      <c r="J149" s="1" t="str">
        <f>I148&amp;".1"</f>
        <v>1.5.1.1.1</v>
      </c>
      <c r="L149" t="s">
        <v>524</v>
      </c>
      <c r="P149" s="1"/>
      <c r="Q149" s="1">
        <v>1</v>
      </c>
      <c r="S149" t="str">
        <f>$J149</f>
        <v>1.5.1.1.1</v>
      </c>
      <c r="T149" t="s">
        <v>525</v>
      </c>
      <c r="V149" s="1"/>
      <c r="W149" s="1"/>
      <c r="X149" s="1"/>
      <c r="Y149" s="1"/>
      <c r="Z149" s="1"/>
      <c r="AA149" s="1"/>
      <c r="AB149" s="1"/>
      <c r="AC149" s="1" t="s">
        <v>636</v>
      </c>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t="s">
        <v>600</v>
      </c>
      <c r="CY149" t="str">
        <f t="shared" si="2"/>
        <v>Группа потребителей</v>
      </c>
      <c r="DB149">
        <v>0</v>
      </c>
    </row>
    <row r="150" spans="2:106" ht="23.25" customHeight="1" x14ac:dyDescent="0.15">
      <c r="E150" s="1"/>
      <c r="F150" s="1" t="s">
        <v>93</v>
      </c>
      <c r="G150" s="1"/>
      <c r="H150" s="1"/>
      <c r="I150" s="1"/>
      <c r="J150" s="1"/>
      <c r="K150" s="1" t="str">
        <f>J149&amp;".1"</f>
        <v>1.5.1.1.1.1</v>
      </c>
      <c r="P150" s="1"/>
      <c r="Q150" s="1"/>
      <c r="R150">
        <v>1</v>
      </c>
      <c r="S150" t="str">
        <f>$K150</f>
        <v>1.5.1.1.1.1</v>
      </c>
      <c r="Y150" s="1"/>
      <c r="Z150" s="1" t="s">
        <v>63</v>
      </c>
      <c r="AA150" s="1"/>
      <c r="AB150" s="1" t="s">
        <v>63</v>
      </c>
      <c r="AC150">
        <v>36.6</v>
      </c>
      <c r="AF150" s="1">
        <v>45292.677777777775</v>
      </c>
      <c r="AG150" s="1" t="s">
        <v>63</v>
      </c>
      <c r="AH150" s="1">
        <v>45473.677905092591</v>
      </c>
      <c r="AI150" s="1" t="s">
        <v>63</v>
      </c>
      <c r="AJ150">
        <v>47.58</v>
      </c>
      <c r="AM150" s="1">
        <v>45474.678078703706</v>
      </c>
      <c r="AN150" s="1" t="s">
        <v>63</v>
      </c>
      <c r="AO150" s="1">
        <v>45657.678194444445</v>
      </c>
      <c r="AP150" s="1" t="s">
        <v>63</v>
      </c>
      <c r="AQ150">
        <v>47.58</v>
      </c>
      <c r="AT150" s="1">
        <v>45658.678356481483</v>
      </c>
      <c r="AU150" s="1" t="s">
        <v>63</v>
      </c>
      <c r="AV150" s="1">
        <v>45838.678472222222</v>
      </c>
      <c r="AW150" s="1" t="s">
        <v>63</v>
      </c>
      <c r="AX150">
        <v>58.04</v>
      </c>
      <c r="BA150" s="1">
        <v>45839.678726851853</v>
      </c>
      <c r="BB150" s="1" t="s">
        <v>63</v>
      </c>
      <c r="BC150" s="1">
        <v>46022.678912037038</v>
      </c>
      <c r="BD150" s="1" t="s">
        <v>63</v>
      </c>
      <c r="BE150">
        <v>58.04</v>
      </c>
      <c r="BH150" s="1">
        <v>46023.679097222222</v>
      </c>
      <c r="BI150" s="1" t="s">
        <v>63</v>
      </c>
      <c r="BJ150" s="1">
        <v>46203.679699074077</v>
      </c>
      <c r="BK150" s="1" t="s">
        <v>63</v>
      </c>
      <c r="BL150">
        <v>58.33</v>
      </c>
      <c r="BO150" s="1">
        <v>46204.679988425924</v>
      </c>
      <c r="BP150" s="1" t="s">
        <v>63</v>
      </c>
      <c r="BQ150" s="1">
        <v>46387.680532407408</v>
      </c>
      <c r="BR150" s="1" t="s">
        <v>63</v>
      </c>
      <c r="BS150">
        <v>58.33</v>
      </c>
      <c r="BV150" s="1">
        <v>46388.680914351855</v>
      </c>
      <c r="BW150" s="1" t="s">
        <v>63</v>
      </c>
      <c r="BX150" s="1">
        <v>46568.681168981479</v>
      </c>
      <c r="BY150" s="1" t="s">
        <v>63</v>
      </c>
      <c r="BZ150">
        <v>58.63</v>
      </c>
      <c r="CC150" s="1">
        <v>46569.681712962964</v>
      </c>
      <c r="CD150" s="1" t="s">
        <v>63</v>
      </c>
      <c r="CE150" s="1">
        <v>46752.681898148148</v>
      </c>
      <c r="CF150" s="1" t="s">
        <v>63</v>
      </c>
      <c r="CG150">
        <v>56.04</v>
      </c>
      <c r="CJ150" s="1">
        <v>46753.683009259257</v>
      </c>
      <c r="CK150" s="1" t="s">
        <v>63</v>
      </c>
      <c r="CL150" s="1">
        <v>46934.682847222219</v>
      </c>
      <c r="CM150" s="1" t="s">
        <v>63</v>
      </c>
      <c r="CN150">
        <v>56.04</v>
      </c>
      <c r="CQ150" s="1">
        <v>46935.682627314818</v>
      </c>
      <c r="CR150" s="1" t="s">
        <v>63</v>
      </c>
      <c r="CS150" s="1">
        <v>47118.682337962964</v>
      </c>
      <c r="CT150" s="1" t="s">
        <v>63</v>
      </c>
      <c r="CV15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0" t="e">
        <f ca="1">STRCHECKDATE(V151:CU151)</f>
        <v>#NAME?</v>
      </c>
      <c r="CY150" t="str">
        <f t="shared" si="2"/>
        <v/>
      </c>
      <c r="DB150">
        <v>0</v>
      </c>
    </row>
    <row r="151" spans="2:106" ht="14.25" customHeight="1" x14ac:dyDescent="0.15">
      <c r="E151" s="1"/>
      <c r="F151" s="1" t="s">
        <v>93</v>
      </c>
      <c r="G151" s="1"/>
      <c r="H151" s="1"/>
      <c r="I151" s="1"/>
      <c r="J151" s="1"/>
      <c r="K151" s="1"/>
      <c r="P151" s="1"/>
      <c r="Q151" s="1"/>
      <c r="X151" t="str">
        <f>Y150&amp;"-"&amp;AA150</f>
        <v>-</v>
      </c>
      <c r="Y151" s="1"/>
      <c r="Z151" s="1"/>
      <c r="AA151" s="1"/>
      <c r="AB151" s="1"/>
      <c r="AE151" t="str">
        <f>AF150&amp;"-"&amp;AH150</f>
        <v>45292,6777777778-45473,6779050926</v>
      </c>
      <c r="AF151" s="1"/>
      <c r="AG151" s="1"/>
      <c r="AH151" s="1"/>
      <c r="AI151" s="1"/>
      <c r="AL151" t="str">
        <f>AM150&amp;"-"&amp;AO150</f>
        <v>45474,6780787037-45657,6781944444</v>
      </c>
      <c r="AM151" s="1"/>
      <c r="AN151" s="1"/>
      <c r="AO151" s="1"/>
      <c r="AP151" s="1"/>
      <c r="AS151" t="str">
        <f>AT150&amp;"-"&amp;AV150</f>
        <v>45658,6783564814-45838,6784722222</v>
      </c>
      <c r="AT151" s="1"/>
      <c r="AU151" s="1"/>
      <c r="AV151" s="1"/>
      <c r="AW151" s="1"/>
      <c r="AZ151" t="str">
        <f>BA150&amp;"-"&amp;BC150</f>
        <v>45839,6787268519-46022,678912037</v>
      </c>
      <c r="BA151" s="1"/>
      <c r="BB151" s="1"/>
      <c r="BC151" s="1"/>
      <c r="BD151" s="1"/>
      <c r="BG151" t="str">
        <f>BH150&amp;"-"&amp;BJ150</f>
        <v>46023,6790972222-46203,6796990741</v>
      </c>
      <c r="BH151" s="1"/>
      <c r="BI151" s="1"/>
      <c r="BJ151" s="1"/>
      <c r="BK151" s="1"/>
      <c r="BN151" t="str">
        <f>BO150&amp;"-"&amp;BQ150</f>
        <v>46204,6799884259-46387,6805324074</v>
      </c>
      <c r="BO151" s="1"/>
      <c r="BP151" s="1"/>
      <c r="BQ151" s="1"/>
      <c r="BR151" s="1"/>
      <c r="BU151" t="str">
        <f>BV150&amp;"-"&amp;BX150</f>
        <v>46388,6809143519-46568,6811689815</v>
      </c>
      <c r="BV151" s="1"/>
      <c r="BW151" s="1"/>
      <c r="BX151" s="1"/>
      <c r="BY151" s="1"/>
      <c r="CB151" t="str">
        <f>CC150&amp;"-"&amp;CE150</f>
        <v>46569,681712963-46752,6818981481</v>
      </c>
      <c r="CC151" s="1"/>
      <c r="CD151" s="1"/>
      <c r="CE151" s="1"/>
      <c r="CF151" s="1"/>
      <c r="CI151" t="str">
        <f>CJ150&amp;"-"&amp;CL150</f>
        <v>46753,6830092593-46934,6828472222</v>
      </c>
      <c r="CJ151" s="1"/>
      <c r="CK151" s="1"/>
      <c r="CL151" s="1"/>
      <c r="CM151" s="1"/>
      <c r="CP151" t="str">
        <f>CQ150&amp;"-"&amp;CS150</f>
        <v>46935,6826273148-47118,682337963</v>
      </c>
      <c r="CQ151" s="1"/>
      <c r="CR151" s="1"/>
      <c r="CS151" s="1"/>
      <c r="CT151" s="1"/>
      <c r="CV151" s="1"/>
      <c r="CY151" t="str">
        <f t="shared" si="2"/>
        <v/>
      </c>
      <c r="DB151">
        <v>0</v>
      </c>
    </row>
    <row r="152" spans="2:106" ht="21" customHeight="1" x14ac:dyDescent="0.15">
      <c r="E152" s="1"/>
      <c r="F152" s="1" t="s">
        <v>93</v>
      </c>
      <c r="G152" s="1"/>
      <c r="H152" s="1"/>
      <c r="I152" s="1"/>
      <c r="J152" s="1"/>
      <c r="P152" s="1"/>
      <c r="Q152" s="1"/>
      <c r="T152" t="s">
        <v>601</v>
      </c>
      <c r="CV152" t="s">
        <v>602</v>
      </c>
      <c r="CY152" t="str">
        <f t="shared" si="2"/>
        <v>Добавить значение признака дифференциации</v>
      </c>
      <c r="DB152">
        <v>0</v>
      </c>
    </row>
    <row r="153" spans="2:106" ht="23.25" customHeight="1" x14ac:dyDescent="0.15">
      <c r="E153" s="1"/>
      <c r="F153" s="1"/>
      <c r="G153" s="1"/>
      <c r="H153" s="1"/>
      <c r="I153" s="1"/>
      <c r="J153" s="1" t="str">
        <f>I148&amp;".2"</f>
        <v>1.5.1.1.2</v>
      </c>
      <c r="L153" t="s">
        <v>524</v>
      </c>
      <c r="P153" s="1"/>
      <c r="Q153" s="1" t="s">
        <v>106</v>
      </c>
      <c r="S153" t="str">
        <f>$J153</f>
        <v>1.5.1.1.2</v>
      </c>
      <c r="T153" t="s">
        <v>525</v>
      </c>
      <c r="V153" s="1"/>
      <c r="W153" s="1"/>
      <c r="X153" s="1"/>
      <c r="Y153" s="1"/>
      <c r="Z153" s="1"/>
      <c r="AA153" s="1"/>
      <c r="AB153" s="1"/>
      <c r="AC153" s="1" t="s">
        <v>637</v>
      </c>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t="s">
        <v>600</v>
      </c>
      <c r="CY153" t="str">
        <f t="shared" si="2"/>
        <v>Группа потребителей</v>
      </c>
      <c r="DB153">
        <v>0</v>
      </c>
    </row>
    <row r="154" spans="2:106" ht="23.25" customHeight="1" x14ac:dyDescent="0.15">
      <c r="E154" s="1"/>
      <c r="F154" s="1"/>
      <c r="G154" s="1"/>
      <c r="H154" s="1"/>
      <c r="I154" s="1"/>
      <c r="J154" s="1" t="str">
        <f>I148&amp;".1"</f>
        <v>1.5.1.1.1</v>
      </c>
      <c r="K154" s="1" t="str">
        <f>J153&amp;".1"</f>
        <v>1.5.1.1.2.1</v>
      </c>
      <c r="P154" s="1"/>
      <c r="Q154" s="1"/>
      <c r="R154">
        <v>1</v>
      </c>
      <c r="S154" t="str">
        <f>$K154</f>
        <v>1.5.1.1.2.1</v>
      </c>
      <c r="Y154" s="1"/>
      <c r="Z154" s="1" t="s">
        <v>63</v>
      </c>
      <c r="AA154" s="1"/>
      <c r="AB154" s="1" t="s">
        <v>63</v>
      </c>
      <c r="AC154">
        <v>30.5</v>
      </c>
      <c r="AF154" s="1">
        <v>45292.677847222221</v>
      </c>
      <c r="AG154" s="1" t="s">
        <v>63</v>
      </c>
      <c r="AH154" s="1">
        <v>45473.67800925926</v>
      </c>
      <c r="AI154" s="1" t="s">
        <v>63</v>
      </c>
      <c r="AJ154">
        <v>39.65</v>
      </c>
      <c r="AM154" s="1">
        <v>45474.678136574075</v>
      </c>
      <c r="AN154" s="1" t="s">
        <v>63</v>
      </c>
      <c r="AO154" s="1">
        <v>45657.678240740737</v>
      </c>
      <c r="AP154" s="1" t="s">
        <v>63</v>
      </c>
      <c r="AQ154">
        <v>39.65</v>
      </c>
      <c r="AT154" s="1">
        <v>45658.678437499999</v>
      </c>
      <c r="AU154" s="1" t="s">
        <v>63</v>
      </c>
      <c r="AV154" s="1">
        <v>45838.678587962961</v>
      </c>
      <c r="AW154" s="1" t="s">
        <v>63</v>
      </c>
      <c r="AX154">
        <v>48.37</v>
      </c>
      <c r="BA154" s="1">
        <v>45839.678819444445</v>
      </c>
      <c r="BB154" s="1" t="s">
        <v>63</v>
      </c>
      <c r="BC154" s="1">
        <v>46022.678969907407</v>
      </c>
      <c r="BD154" s="1" t="s">
        <v>63</v>
      </c>
      <c r="BE154">
        <v>48.37</v>
      </c>
      <c r="BH154" s="1">
        <v>46023.679259259261</v>
      </c>
      <c r="BI154" s="1" t="s">
        <v>63</v>
      </c>
      <c r="BJ154" s="1">
        <v>46203.679780092592</v>
      </c>
      <c r="BK154" s="1" t="s">
        <v>63</v>
      </c>
      <c r="BL154">
        <v>48.61</v>
      </c>
      <c r="BO154" s="1">
        <v>46204.680069444446</v>
      </c>
      <c r="BP154" s="1" t="s">
        <v>63</v>
      </c>
      <c r="BQ154" s="1">
        <v>46387.680717592593</v>
      </c>
      <c r="BR154" s="1" t="s">
        <v>63</v>
      </c>
      <c r="BS154">
        <v>48.61</v>
      </c>
      <c r="BV154" s="1">
        <v>46388.68105324074</v>
      </c>
      <c r="BW154" s="1" t="s">
        <v>63</v>
      </c>
      <c r="BX154" s="1">
        <v>46568.681435185186</v>
      </c>
      <c r="BY154" s="1" t="s">
        <v>63</v>
      </c>
      <c r="BZ154">
        <v>48.86</v>
      </c>
      <c r="CC154" s="1">
        <v>46569.681805555556</v>
      </c>
      <c r="CD154" s="1" t="s">
        <v>63</v>
      </c>
      <c r="CE154" s="1">
        <v>46752.682002314818</v>
      </c>
      <c r="CF154" s="1" t="s">
        <v>63</v>
      </c>
      <c r="CG154">
        <v>46.7</v>
      </c>
      <c r="CJ154" s="1">
        <v>46753.683182870373</v>
      </c>
      <c r="CK154" s="1" t="s">
        <v>63</v>
      </c>
      <c r="CL154" s="1">
        <v>46934.68273148148</v>
      </c>
      <c r="CM154" s="1" t="s">
        <v>63</v>
      </c>
      <c r="CN154">
        <v>46.7</v>
      </c>
      <c r="CQ154" s="1">
        <v>46935.682523148149</v>
      </c>
      <c r="CR154" s="1" t="s">
        <v>63</v>
      </c>
      <c r="CS154" s="1">
        <v>47118.682430555556</v>
      </c>
      <c r="CT154" s="1" t="s">
        <v>63</v>
      </c>
      <c r="CV15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54" t="e">
        <f ca="1">STRCHECKDATE(V155:CU155)</f>
        <v>#NAME?</v>
      </c>
      <c r="CY154" t="str">
        <f t="shared" si="2"/>
        <v/>
      </c>
      <c r="DB154">
        <v>0</v>
      </c>
    </row>
    <row r="155" spans="2:106" ht="14.25" customHeight="1" x14ac:dyDescent="0.15">
      <c r="E155" s="1"/>
      <c r="F155" s="1"/>
      <c r="G155" s="1"/>
      <c r="H155" s="1"/>
      <c r="I155" s="1"/>
      <c r="J155" s="1" t="str">
        <f>I148&amp;".1"</f>
        <v>1.5.1.1.1</v>
      </c>
      <c r="K155" s="1"/>
      <c r="P155" s="1"/>
      <c r="Q155" s="1"/>
      <c r="X155" t="str">
        <f>Y154&amp;"-"&amp;AA154</f>
        <v>-</v>
      </c>
      <c r="Y155" s="1"/>
      <c r="Z155" s="1"/>
      <c r="AA155" s="1"/>
      <c r="AB155" s="1"/>
      <c r="AE155" t="str">
        <f>AF154&amp;"-"&amp;AH154</f>
        <v>45292,6778472222-45473,6780092593</v>
      </c>
      <c r="AF155" s="1"/>
      <c r="AG155" s="1"/>
      <c r="AH155" s="1"/>
      <c r="AI155" s="1"/>
      <c r="AL155" t="str">
        <f>AM154&amp;"-"&amp;AO154</f>
        <v>45474,6781365741-45657,6782407407</v>
      </c>
      <c r="AM155" s="1"/>
      <c r="AN155" s="1"/>
      <c r="AO155" s="1"/>
      <c r="AP155" s="1"/>
      <c r="AS155" t="str">
        <f>AT154&amp;"-"&amp;AV154</f>
        <v>45658,6784375-45838,678587963</v>
      </c>
      <c r="AT155" s="1"/>
      <c r="AU155" s="1"/>
      <c r="AV155" s="1"/>
      <c r="AW155" s="1"/>
      <c r="AZ155" t="str">
        <f>BA154&amp;"-"&amp;BC154</f>
        <v>45839,6788194444-46022,6789699074</v>
      </c>
      <c r="BA155" s="1"/>
      <c r="BB155" s="1"/>
      <c r="BC155" s="1"/>
      <c r="BD155" s="1"/>
      <c r="BG155" t="str">
        <f>BH154&amp;"-"&amp;BJ154</f>
        <v>46023,6792592593-46203,6797800926</v>
      </c>
      <c r="BH155" s="1"/>
      <c r="BI155" s="1"/>
      <c r="BJ155" s="1"/>
      <c r="BK155" s="1"/>
      <c r="BN155" t="str">
        <f>BO154&amp;"-"&amp;BQ154</f>
        <v>46204,6800694444-46387,6807175925</v>
      </c>
      <c r="BO155" s="1"/>
      <c r="BP155" s="1"/>
      <c r="BQ155" s="1"/>
      <c r="BR155" s="1"/>
      <c r="BU155" t="str">
        <f>BV154&amp;"-"&amp;BX154</f>
        <v>46388,6810532407-46568,6814351852</v>
      </c>
      <c r="BV155" s="1"/>
      <c r="BW155" s="1"/>
      <c r="BX155" s="1"/>
      <c r="BY155" s="1"/>
      <c r="CB155" t="str">
        <f>CC154&amp;"-"&amp;CE154</f>
        <v>46569,6818055556-46752,6820023148</v>
      </c>
      <c r="CC155" s="1"/>
      <c r="CD155" s="1"/>
      <c r="CE155" s="1"/>
      <c r="CF155" s="1"/>
      <c r="CI155" t="str">
        <f>CJ154&amp;"-"&amp;CL154</f>
        <v>46753,6831828704-46934,6827314815</v>
      </c>
      <c r="CJ155" s="1"/>
      <c r="CK155" s="1"/>
      <c r="CL155" s="1"/>
      <c r="CM155" s="1"/>
      <c r="CP155" t="str">
        <f>CQ154&amp;"-"&amp;CS154</f>
        <v>46935,6825231481-47118,6824305556</v>
      </c>
      <c r="CQ155" s="1"/>
      <c r="CR155" s="1"/>
      <c r="CS155" s="1"/>
      <c r="CT155" s="1"/>
      <c r="CV155" s="1"/>
      <c r="CY155" t="str">
        <f t="shared" si="2"/>
        <v/>
      </c>
      <c r="DB155">
        <v>0</v>
      </c>
    </row>
    <row r="156" spans="2:106" ht="21" customHeight="1" x14ac:dyDescent="0.15">
      <c r="E156" s="1"/>
      <c r="F156" s="1"/>
      <c r="G156" s="1"/>
      <c r="H156" s="1"/>
      <c r="I156" s="1"/>
      <c r="J156" s="1" t="str">
        <f>I148&amp;".1"</f>
        <v>1.5.1.1.1</v>
      </c>
      <c r="P156" s="1"/>
      <c r="Q156" s="1"/>
      <c r="T156" t="s">
        <v>601</v>
      </c>
      <c r="CV156" t="s">
        <v>602</v>
      </c>
      <c r="CY156" t="str">
        <f t="shared" si="2"/>
        <v>Добавить значение признака дифференциации</v>
      </c>
      <c r="DB156">
        <v>0</v>
      </c>
    </row>
    <row r="157" spans="2:106" ht="21" customHeight="1" x14ac:dyDescent="0.15">
      <c r="E157" s="1"/>
      <c r="F157" s="1" t="s">
        <v>93</v>
      </c>
      <c r="G157" s="1"/>
      <c r="H157" s="1"/>
      <c r="I157" s="1"/>
      <c r="P157" s="1"/>
      <c r="T157" t="s">
        <v>530</v>
      </c>
      <c r="CY157" t="str">
        <f t="shared" si="2"/>
        <v>Добавить группу потребителей</v>
      </c>
      <c r="DB157">
        <v>0</v>
      </c>
    </row>
    <row r="158" spans="2:106" ht="21" customHeight="1" x14ac:dyDescent="0.15">
      <c r="E158" s="1"/>
      <c r="F158" s="1" t="s">
        <v>93</v>
      </c>
      <c r="G158" s="1"/>
      <c r="H158" s="1"/>
      <c r="T158" t="s">
        <v>603</v>
      </c>
      <c r="CY158" t="str">
        <f t="shared" si="2"/>
        <v>Добавить наименование признака дифференциации</v>
      </c>
      <c r="DB158">
        <v>0</v>
      </c>
    </row>
    <row r="159" spans="2:106" ht="14.25" customHeight="1" x14ac:dyDescent="0.15">
      <c r="E159" s="1"/>
      <c r="F159" s="1" t="s">
        <v>93</v>
      </c>
      <c r="T159" t="s">
        <v>321</v>
      </c>
      <c r="CY159" t="str">
        <f t="shared" si="2"/>
        <v>Добавить централизованную систему для дифференциации</v>
      </c>
      <c r="DB159">
        <v>0</v>
      </c>
    </row>
    <row r="160" spans="2:106" ht="23.25" customHeight="1" x14ac:dyDescent="0.15">
      <c r="B160" t="s">
        <v>351</v>
      </c>
      <c r="E160" s="1"/>
      <c r="F160" s="1" t="s">
        <v>94</v>
      </c>
      <c r="S160" t="str">
        <f>INDEX(PT_DIFFERENTIATION_NUM_TER,MATCH(B160,PT_DIFFERENTIATION_TER_ID,0))</f>
        <v>1.6</v>
      </c>
      <c r="T160" t="s">
        <v>515</v>
      </c>
      <c r="V160" s="1"/>
      <c r="W160" s="1"/>
      <c r="X160" s="1"/>
      <c r="Y160" s="1"/>
      <c r="Z160" s="1"/>
      <c r="AA160" s="1"/>
      <c r="AB160" s="1"/>
      <c r="AC160" s="1" t="str">
        <f>INDEX(PT_DIFFERENTIATION_TER,MATCH(B160,PT_DIFFERENTIATION_TER_ID,0))</f>
        <v>Территория 6</v>
      </c>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t="s">
        <v>516</v>
      </c>
      <c r="CY160" t="str">
        <f t="shared" si="2"/>
        <v>Территория действия тарифа</v>
      </c>
      <c r="DB160">
        <v>0</v>
      </c>
    </row>
    <row r="161" spans="2:106" ht="23.25" customHeight="1" x14ac:dyDescent="0.15">
      <c r="C161" t="s">
        <v>352</v>
      </c>
      <c r="E161" s="1"/>
      <c r="F161" s="1" t="s">
        <v>120</v>
      </c>
      <c r="G161" s="1">
        <v>1</v>
      </c>
      <c r="S161" t="str">
        <f>INDEX(PT_DIFFERENTIATION_NUM_CS,MATCH(C161,PT_DIFFERENTIATION_CS_ID,0))</f>
        <v>1.6.1</v>
      </c>
      <c r="T161" t="s">
        <v>631</v>
      </c>
      <c r="V161" s="1"/>
      <c r="W161" s="1"/>
      <c r="X161" s="1"/>
      <c r="Y161" s="1"/>
      <c r="Z161" s="1"/>
      <c r="AA161" s="1"/>
      <c r="AB161" s="1"/>
      <c r="AC161" s="1" t="str">
        <f>INDEX(PT_DIFFERENTIATION_CS,MATCH(C161,PT_DIFFERENTIATION_CS_ID,0))</f>
        <v>п. Реттиховка</v>
      </c>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t="s">
        <v>632</v>
      </c>
      <c r="CY161" t="str">
        <f t="shared" si="2"/>
        <v>Наименование централизованной системы водоотведения</v>
      </c>
      <c r="DB161">
        <v>0</v>
      </c>
    </row>
    <row r="162" spans="2:106" ht="23.25" customHeight="1" x14ac:dyDescent="0.15">
      <c r="E162" s="1"/>
      <c r="F162" s="1" t="s">
        <v>120</v>
      </c>
      <c r="G162" s="1"/>
      <c r="H162" s="1"/>
      <c r="I162" s="1" t="str">
        <f>S161&amp;".1"</f>
        <v>1.6.1.1</v>
      </c>
      <c r="P162" s="1">
        <v>1</v>
      </c>
      <c r="S162" t="str">
        <f>$I162</f>
        <v>1.6.1.1</v>
      </c>
      <c r="T162" t="s">
        <v>598</v>
      </c>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t="s">
        <v>599</v>
      </c>
      <c r="CY162" t="str">
        <f t="shared" si="2"/>
        <v>Наименование признака дифференциации</v>
      </c>
      <c r="DB162">
        <v>0</v>
      </c>
    </row>
    <row r="163" spans="2:106" ht="23.25" customHeight="1" x14ac:dyDescent="0.15">
      <c r="E163" s="1"/>
      <c r="F163" s="1" t="s">
        <v>120</v>
      </c>
      <c r="G163" s="1"/>
      <c r="H163" s="1"/>
      <c r="I163" s="1"/>
      <c r="J163" s="1" t="str">
        <f>I162&amp;".1"</f>
        <v>1.6.1.1.1</v>
      </c>
      <c r="L163" t="s">
        <v>524</v>
      </c>
      <c r="P163" s="1"/>
      <c r="Q163" s="1">
        <v>1</v>
      </c>
      <c r="S163" t="str">
        <f>$J163</f>
        <v>1.6.1.1.1</v>
      </c>
      <c r="T163" t="s">
        <v>525</v>
      </c>
      <c r="V163" s="1"/>
      <c r="W163" s="1"/>
      <c r="X163" s="1"/>
      <c r="Y163" s="1"/>
      <c r="Z163" s="1"/>
      <c r="AA163" s="1"/>
      <c r="AB163" s="1"/>
      <c r="AC163" s="1" t="s">
        <v>636</v>
      </c>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t="s">
        <v>600</v>
      </c>
      <c r="CY163" t="str">
        <f t="shared" si="2"/>
        <v>Группа потребителей</v>
      </c>
      <c r="DB163">
        <v>0</v>
      </c>
    </row>
    <row r="164" spans="2:106" ht="23.25" customHeight="1" x14ac:dyDescent="0.15">
      <c r="E164" s="1"/>
      <c r="F164" s="1" t="s">
        <v>120</v>
      </c>
      <c r="G164" s="1"/>
      <c r="H164" s="1"/>
      <c r="I164" s="1"/>
      <c r="J164" s="1"/>
      <c r="K164" s="1" t="str">
        <f>J163&amp;".1"</f>
        <v>1.6.1.1.1.1</v>
      </c>
      <c r="P164" s="1"/>
      <c r="Q164" s="1"/>
      <c r="R164">
        <v>1</v>
      </c>
      <c r="S164" t="str">
        <f>$K164</f>
        <v>1.6.1.1.1.1</v>
      </c>
      <c r="Y164" s="1"/>
      <c r="Z164" s="1" t="s">
        <v>63</v>
      </c>
      <c r="AA164" s="1"/>
      <c r="AB164" s="1" t="s">
        <v>63</v>
      </c>
      <c r="AC164">
        <v>33.36</v>
      </c>
      <c r="AF164" s="1">
        <v>45292.691192129627</v>
      </c>
      <c r="AG164" s="1" t="s">
        <v>63</v>
      </c>
      <c r="AH164" s="1">
        <v>45473.691423611112</v>
      </c>
      <c r="AI164" s="1" t="s">
        <v>63</v>
      </c>
      <c r="AJ164">
        <v>43.37</v>
      </c>
      <c r="AM164" s="1">
        <v>45474.69158564815</v>
      </c>
      <c r="AN164" s="1" t="s">
        <v>63</v>
      </c>
      <c r="AO164" s="1">
        <v>45657.699421296296</v>
      </c>
      <c r="AP164" s="1" t="s">
        <v>63</v>
      </c>
      <c r="AQ164">
        <v>43.37</v>
      </c>
      <c r="AT164" s="1">
        <v>45658.699594907404</v>
      </c>
      <c r="AU164" s="1" t="s">
        <v>63</v>
      </c>
      <c r="AV164" s="1">
        <v>45838.699675925927</v>
      </c>
      <c r="AW164" s="1" t="s">
        <v>63</v>
      </c>
      <c r="AX164">
        <v>51.61</v>
      </c>
      <c r="BA164" s="1">
        <v>45839.70003472222</v>
      </c>
      <c r="BB164" s="1" t="s">
        <v>63</v>
      </c>
      <c r="BC164" s="1">
        <v>46022.700243055559</v>
      </c>
      <c r="BD164" s="1" t="s">
        <v>63</v>
      </c>
      <c r="BE164">
        <v>51.61</v>
      </c>
      <c r="BH164" s="1">
        <v>46023.700752314813</v>
      </c>
      <c r="BI164" s="1" t="s">
        <v>63</v>
      </c>
      <c r="BJ164" s="1">
        <v>46203.700902777775</v>
      </c>
      <c r="BK164" s="1" t="s">
        <v>63</v>
      </c>
      <c r="BL164">
        <v>52.64</v>
      </c>
      <c r="BO164" s="1">
        <v>46204.701331018521</v>
      </c>
      <c r="BP164" s="1" t="s">
        <v>63</v>
      </c>
      <c r="BQ164" s="1">
        <v>46387.701956018522</v>
      </c>
      <c r="BR164" s="1" t="s">
        <v>63</v>
      </c>
      <c r="BS164">
        <v>52.64</v>
      </c>
      <c r="BV164" s="1">
        <v>46388.707395833335</v>
      </c>
      <c r="BW164" s="1" t="s">
        <v>63</v>
      </c>
      <c r="BX164" s="1">
        <v>46568.707604166666</v>
      </c>
      <c r="BY164" s="1" t="s">
        <v>63</v>
      </c>
      <c r="BZ164">
        <v>52.91</v>
      </c>
      <c r="CC164" s="1">
        <v>46569.707858796297</v>
      </c>
      <c r="CD164" s="1" t="s">
        <v>63</v>
      </c>
      <c r="CE164" s="1">
        <v>46752.708090277774</v>
      </c>
      <c r="CF164" s="1" t="s">
        <v>63</v>
      </c>
      <c r="CG164">
        <v>52.91</v>
      </c>
      <c r="CJ164" s="1">
        <v>46753.708321759259</v>
      </c>
      <c r="CK164" s="1" t="s">
        <v>63</v>
      </c>
      <c r="CL164" s="1">
        <v>46934.708726851852</v>
      </c>
      <c r="CM164" s="1" t="s">
        <v>63</v>
      </c>
      <c r="CN164">
        <v>56.06</v>
      </c>
      <c r="CQ164" s="1">
        <v>46935.709027777775</v>
      </c>
      <c r="CR164" s="1" t="s">
        <v>63</v>
      </c>
      <c r="CS164" s="1">
        <v>47118.709594907406</v>
      </c>
      <c r="CT164" s="1" t="s">
        <v>63</v>
      </c>
      <c r="CV16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64" t="e">
        <f ca="1">STRCHECKDATE(V165:CU165)</f>
        <v>#NAME?</v>
      </c>
      <c r="CY164" t="str">
        <f t="shared" si="2"/>
        <v/>
      </c>
      <c r="DB164">
        <v>0</v>
      </c>
    </row>
    <row r="165" spans="2:106" ht="14.25" customHeight="1" x14ac:dyDescent="0.15">
      <c r="E165" s="1"/>
      <c r="F165" s="1" t="s">
        <v>120</v>
      </c>
      <c r="G165" s="1"/>
      <c r="H165" s="1"/>
      <c r="I165" s="1"/>
      <c r="J165" s="1"/>
      <c r="K165" s="1"/>
      <c r="P165" s="1"/>
      <c r="Q165" s="1"/>
      <c r="X165" t="str">
        <f>Y164&amp;"-"&amp;AA164</f>
        <v>-</v>
      </c>
      <c r="Y165" s="1"/>
      <c r="Z165" s="1"/>
      <c r="AA165" s="1"/>
      <c r="AB165" s="1"/>
      <c r="AE165" t="str">
        <f>AF164&amp;"-"&amp;AH164</f>
        <v>45292,6911921296-45473,6914236111</v>
      </c>
      <c r="AF165" s="1"/>
      <c r="AG165" s="1"/>
      <c r="AH165" s="1"/>
      <c r="AI165" s="1"/>
      <c r="AL165" t="str">
        <f>AM164&amp;"-"&amp;AO164</f>
        <v>45474,6915856482-45657,6994212963</v>
      </c>
      <c r="AM165" s="1"/>
      <c r="AN165" s="1"/>
      <c r="AO165" s="1"/>
      <c r="AP165" s="1"/>
      <c r="AS165" t="str">
        <f>AT164&amp;"-"&amp;AV164</f>
        <v>45658,6995949074-45838,6996759259</v>
      </c>
      <c r="AT165" s="1"/>
      <c r="AU165" s="1"/>
      <c r="AV165" s="1"/>
      <c r="AW165" s="1"/>
      <c r="AZ165" t="str">
        <f>BA164&amp;"-"&amp;BC164</f>
        <v>45839,7000347222-46022,7002430556</v>
      </c>
      <c r="BA165" s="1"/>
      <c r="BB165" s="1"/>
      <c r="BC165" s="1"/>
      <c r="BD165" s="1"/>
      <c r="BG165" t="str">
        <f>BH164&amp;"-"&amp;BJ164</f>
        <v>46023,7007523148-46203,7009027778</v>
      </c>
      <c r="BH165" s="1"/>
      <c r="BI165" s="1"/>
      <c r="BJ165" s="1"/>
      <c r="BK165" s="1"/>
      <c r="BN165" t="str">
        <f>BO164&amp;"-"&amp;BQ164</f>
        <v>46204,7013310185-46387,7019560185</v>
      </c>
      <c r="BO165" s="1"/>
      <c r="BP165" s="1"/>
      <c r="BQ165" s="1"/>
      <c r="BR165" s="1"/>
      <c r="BU165" t="str">
        <f>BV164&amp;"-"&amp;BX164</f>
        <v>46388,7073958333-46568,7076041667</v>
      </c>
      <c r="BV165" s="1"/>
      <c r="BW165" s="1"/>
      <c r="BX165" s="1"/>
      <c r="BY165" s="1"/>
      <c r="CB165" t="str">
        <f>CC164&amp;"-"&amp;CE164</f>
        <v>46569,7078587963-46752,7080902778</v>
      </c>
      <c r="CC165" s="1"/>
      <c r="CD165" s="1"/>
      <c r="CE165" s="1"/>
      <c r="CF165" s="1"/>
      <c r="CI165" t="str">
        <f>CJ164&amp;"-"&amp;CL164</f>
        <v>46753,7083217593-46934,7087268519</v>
      </c>
      <c r="CJ165" s="1"/>
      <c r="CK165" s="1"/>
      <c r="CL165" s="1"/>
      <c r="CM165" s="1"/>
      <c r="CP165" t="str">
        <f>CQ164&amp;"-"&amp;CS164</f>
        <v>46935,7090277778-47118,7095949074</v>
      </c>
      <c r="CQ165" s="1"/>
      <c r="CR165" s="1"/>
      <c r="CS165" s="1"/>
      <c r="CT165" s="1"/>
      <c r="CV165" s="1"/>
      <c r="CY165" t="str">
        <f t="shared" si="2"/>
        <v/>
      </c>
      <c r="DB165">
        <v>0</v>
      </c>
    </row>
    <row r="166" spans="2:106" ht="21" customHeight="1" x14ac:dyDescent="0.15">
      <c r="E166" s="1"/>
      <c r="F166" s="1" t="s">
        <v>120</v>
      </c>
      <c r="G166" s="1"/>
      <c r="H166" s="1"/>
      <c r="I166" s="1"/>
      <c r="J166" s="1"/>
      <c r="P166" s="1"/>
      <c r="Q166" s="1"/>
      <c r="T166" t="s">
        <v>601</v>
      </c>
      <c r="CV166" t="s">
        <v>602</v>
      </c>
      <c r="CY166" t="str">
        <f t="shared" si="2"/>
        <v>Добавить значение признака дифференциации</v>
      </c>
      <c r="DB166">
        <v>0</v>
      </c>
    </row>
    <row r="167" spans="2:106" ht="23.25" customHeight="1" x14ac:dyDescent="0.15">
      <c r="E167" s="1"/>
      <c r="F167" s="1"/>
      <c r="G167" s="1"/>
      <c r="H167" s="1"/>
      <c r="I167" s="1"/>
      <c r="J167" s="1" t="str">
        <f>I162&amp;".2"</f>
        <v>1.6.1.1.2</v>
      </c>
      <c r="L167" t="s">
        <v>524</v>
      </c>
      <c r="P167" s="1"/>
      <c r="Q167" s="1" t="s">
        <v>106</v>
      </c>
      <c r="S167" t="str">
        <f>$J167</f>
        <v>1.6.1.1.2</v>
      </c>
      <c r="T167" t="s">
        <v>525</v>
      </c>
      <c r="V167" s="1"/>
      <c r="W167" s="1"/>
      <c r="X167" s="1"/>
      <c r="Y167" s="1"/>
      <c r="Z167" s="1"/>
      <c r="AA167" s="1"/>
      <c r="AB167" s="1"/>
      <c r="AC167" s="1" t="s">
        <v>637</v>
      </c>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t="s">
        <v>600</v>
      </c>
      <c r="CY167" t="str">
        <f t="shared" si="2"/>
        <v>Группа потребителей</v>
      </c>
      <c r="DB167">
        <v>0</v>
      </c>
    </row>
    <row r="168" spans="2:106" ht="23.25" customHeight="1" x14ac:dyDescent="0.15">
      <c r="E168" s="1"/>
      <c r="F168" s="1"/>
      <c r="G168" s="1"/>
      <c r="H168" s="1"/>
      <c r="I168" s="1"/>
      <c r="J168" s="1" t="str">
        <f>I162&amp;".1"</f>
        <v>1.6.1.1.1</v>
      </c>
      <c r="K168" s="1" t="str">
        <f>J167&amp;".1"</f>
        <v>1.6.1.1.2.1</v>
      </c>
      <c r="P168" s="1"/>
      <c r="Q168" s="1"/>
      <c r="R168">
        <v>1</v>
      </c>
      <c r="S168" t="str">
        <f>$K168</f>
        <v>1.6.1.1.2.1</v>
      </c>
      <c r="Y168" s="1"/>
      <c r="Z168" s="1" t="s">
        <v>63</v>
      </c>
      <c r="AA168" s="1"/>
      <c r="AB168" s="1" t="s">
        <v>63</v>
      </c>
      <c r="AC168">
        <v>27.8</v>
      </c>
      <c r="AF168" s="1">
        <v>45292.691354166665</v>
      </c>
      <c r="AG168" s="1" t="s">
        <v>63</v>
      </c>
      <c r="AH168" s="1">
        <v>45473.691516203704</v>
      </c>
      <c r="AI168" s="1" t="s">
        <v>63</v>
      </c>
      <c r="AJ168">
        <v>36.14</v>
      </c>
      <c r="AM168" s="1">
        <v>45474.691666666666</v>
      </c>
      <c r="AN168" s="1" t="s">
        <v>63</v>
      </c>
      <c r="AO168" s="1">
        <v>45657.699502314812</v>
      </c>
      <c r="AP168" s="1" t="s">
        <v>63</v>
      </c>
      <c r="AQ168">
        <v>36.14</v>
      </c>
      <c r="AT168" s="1">
        <v>45658.699629629627</v>
      </c>
      <c r="AU168" s="1" t="s">
        <v>63</v>
      </c>
      <c r="AV168" s="1">
        <v>45838.699780092589</v>
      </c>
      <c r="AW168" s="1" t="s">
        <v>63</v>
      </c>
      <c r="AX168">
        <v>43.01</v>
      </c>
      <c r="BA168" s="1">
        <v>45839.700150462966</v>
      </c>
      <c r="BB168" s="1" t="s">
        <v>63</v>
      </c>
      <c r="BC168" s="1">
        <v>46022.700497685182</v>
      </c>
      <c r="BD168" s="1" t="s">
        <v>63</v>
      </c>
      <c r="BE168">
        <v>43.01</v>
      </c>
      <c r="BH168" s="1">
        <v>46023.700833333336</v>
      </c>
      <c r="BI168" s="1" t="s">
        <v>63</v>
      </c>
      <c r="BJ168" s="1">
        <v>46203.700995370367</v>
      </c>
      <c r="BK168" s="1" t="s">
        <v>63</v>
      </c>
      <c r="BL168">
        <v>43.87</v>
      </c>
      <c r="BO168" s="1">
        <v>46204.701631944445</v>
      </c>
      <c r="BP168" s="1" t="s">
        <v>63</v>
      </c>
      <c r="BQ168" s="1">
        <v>46387.702199074076</v>
      </c>
      <c r="BR168" s="1" t="s">
        <v>63</v>
      </c>
      <c r="BS168">
        <v>43.87</v>
      </c>
      <c r="BV168" s="1">
        <v>46388.707499999997</v>
      </c>
      <c r="BW168" s="1" t="s">
        <v>63</v>
      </c>
      <c r="BX168" s="1">
        <v>46568.707708333335</v>
      </c>
      <c r="BY168" s="1" t="s">
        <v>63</v>
      </c>
      <c r="BZ168">
        <v>44.09</v>
      </c>
      <c r="CC168" s="1">
        <v>46569.707962962966</v>
      </c>
      <c r="CD168" s="1" t="s">
        <v>63</v>
      </c>
      <c r="CE168" s="1">
        <v>46752.708182870374</v>
      </c>
      <c r="CF168" s="1" t="s">
        <v>63</v>
      </c>
      <c r="CG168">
        <v>44.09</v>
      </c>
      <c r="CJ168" s="1">
        <v>46753.708449074074</v>
      </c>
      <c r="CK168" s="1" t="s">
        <v>63</v>
      </c>
      <c r="CL168" s="1">
        <v>46934.70890046296</v>
      </c>
      <c r="CM168" s="1" t="s">
        <v>63</v>
      </c>
      <c r="CN168">
        <v>46.72</v>
      </c>
      <c r="CQ168" s="1">
        <v>46935.709189814814</v>
      </c>
      <c r="CR168" s="1" t="s">
        <v>63</v>
      </c>
      <c r="CS168" s="1">
        <v>47118.709699074076</v>
      </c>
      <c r="CT168" s="1" t="s">
        <v>63</v>
      </c>
      <c r="CV16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68" t="e">
        <f ca="1">STRCHECKDATE(V169:CU169)</f>
        <v>#NAME?</v>
      </c>
      <c r="CY168" t="str">
        <f t="shared" si="2"/>
        <v/>
      </c>
      <c r="DB168">
        <v>0</v>
      </c>
    </row>
    <row r="169" spans="2:106" ht="14.25" customHeight="1" x14ac:dyDescent="0.15">
      <c r="E169" s="1"/>
      <c r="F169" s="1"/>
      <c r="G169" s="1"/>
      <c r="H169" s="1"/>
      <c r="I169" s="1"/>
      <c r="J169" s="1" t="str">
        <f>I162&amp;".1"</f>
        <v>1.6.1.1.1</v>
      </c>
      <c r="K169" s="1"/>
      <c r="P169" s="1"/>
      <c r="Q169" s="1"/>
      <c r="X169" t="str">
        <f>Y168&amp;"-"&amp;AA168</f>
        <v>-</v>
      </c>
      <c r="Y169" s="1"/>
      <c r="Z169" s="1"/>
      <c r="AA169" s="1"/>
      <c r="AB169" s="1"/>
      <c r="AE169" t="str">
        <f>AF168&amp;"-"&amp;AH168</f>
        <v>45292,6913541667-45473,6915162037</v>
      </c>
      <c r="AF169" s="1"/>
      <c r="AG169" s="1"/>
      <c r="AH169" s="1"/>
      <c r="AI169" s="1"/>
      <c r="AL169" t="str">
        <f>AM168&amp;"-"&amp;AO168</f>
        <v>45474,6916666667-45657,6995023148</v>
      </c>
      <c r="AM169" s="1"/>
      <c r="AN169" s="1"/>
      <c r="AO169" s="1"/>
      <c r="AP169" s="1"/>
      <c r="AS169" t="str">
        <f>AT168&amp;"-"&amp;AV168</f>
        <v>45658,6996296296-45838,6997800926</v>
      </c>
      <c r="AT169" s="1"/>
      <c r="AU169" s="1"/>
      <c r="AV169" s="1"/>
      <c r="AW169" s="1"/>
      <c r="AZ169" t="str">
        <f>BA168&amp;"-"&amp;BC168</f>
        <v>45839,700150463-46022,7004976852</v>
      </c>
      <c r="BA169" s="1"/>
      <c r="BB169" s="1"/>
      <c r="BC169" s="1"/>
      <c r="BD169" s="1"/>
      <c r="BG169" t="str">
        <f>BH168&amp;"-"&amp;BJ168</f>
        <v>46023,7008333333-46203,7009953704</v>
      </c>
      <c r="BH169" s="1"/>
      <c r="BI169" s="1"/>
      <c r="BJ169" s="1"/>
      <c r="BK169" s="1"/>
      <c r="BN169" t="str">
        <f>BO168&amp;"-"&amp;BQ168</f>
        <v>46204,7016319444-46387,7021990741</v>
      </c>
      <c r="BO169" s="1"/>
      <c r="BP169" s="1"/>
      <c r="BQ169" s="1"/>
      <c r="BR169" s="1"/>
      <c r="BU169" t="str">
        <f>BV168&amp;"-"&amp;BX168</f>
        <v>46388,7075-46568,7077083333</v>
      </c>
      <c r="BV169" s="1"/>
      <c r="BW169" s="1"/>
      <c r="BX169" s="1"/>
      <c r="BY169" s="1"/>
      <c r="CB169" t="str">
        <f>CC168&amp;"-"&amp;CE168</f>
        <v>46569,707962963-46752,7081828704</v>
      </c>
      <c r="CC169" s="1"/>
      <c r="CD169" s="1"/>
      <c r="CE169" s="1"/>
      <c r="CF169" s="1"/>
      <c r="CI169" t="str">
        <f>CJ168&amp;"-"&amp;CL168</f>
        <v>46753,7084490741-46934,708900463</v>
      </c>
      <c r="CJ169" s="1"/>
      <c r="CK169" s="1"/>
      <c r="CL169" s="1"/>
      <c r="CM169" s="1"/>
      <c r="CP169" t="str">
        <f>CQ168&amp;"-"&amp;CS168</f>
        <v>46935,7091898148-47118,7096990741</v>
      </c>
      <c r="CQ169" s="1"/>
      <c r="CR169" s="1"/>
      <c r="CS169" s="1"/>
      <c r="CT169" s="1"/>
      <c r="CV169" s="1"/>
      <c r="CY169" t="str">
        <f t="shared" ref="CY169:CY232" si="3">IF(T169="","",T169)</f>
        <v/>
      </c>
      <c r="DB169">
        <v>0</v>
      </c>
    </row>
    <row r="170" spans="2:106" ht="21" customHeight="1" x14ac:dyDescent="0.15">
      <c r="E170" s="1"/>
      <c r="F170" s="1"/>
      <c r="G170" s="1"/>
      <c r="H170" s="1"/>
      <c r="I170" s="1"/>
      <c r="J170" s="1" t="str">
        <f>I162&amp;".1"</f>
        <v>1.6.1.1.1</v>
      </c>
      <c r="P170" s="1"/>
      <c r="Q170" s="1"/>
      <c r="T170" t="s">
        <v>601</v>
      </c>
      <c r="CV170" t="s">
        <v>602</v>
      </c>
      <c r="CY170" t="str">
        <f t="shared" si="3"/>
        <v>Добавить значение признака дифференциации</v>
      </c>
      <c r="DB170">
        <v>0</v>
      </c>
    </row>
    <row r="171" spans="2:106" ht="21" customHeight="1" x14ac:dyDescent="0.15">
      <c r="E171" s="1"/>
      <c r="F171" s="1" t="s">
        <v>120</v>
      </c>
      <c r="G171" s="1"/>
      <c r="H171" s="1"/>
      <c r="I171" s="1"/>
      <c r="P171" s="1"/>
      <c r="T171" t="s">
        <v>530</v>
      </c>
      <c r="CY171" t="str">
        <f t="shared" si="3"/>
        <v>Добавить группу потребителей</v>
      </c>
      <c r="DB171">
        <v>0</v>
      </c>
    </row>
    <row r="172" spans="2:106" ht="21" customHeight="1" x14ac:dyDescent="0.15">
      <c r="E172" s="1"/>
      <c r="F172" s="1" t="s">
        <v>120</v>
      </c>
      <c r="G172" s="1"/>
      <c r="H172" s="1"/>
      <c r="T172" t="s">
        <v>603</v>
      </c>
      <c r="CY172" t="str">
        <f t="shared" si="3"/>
        <v>Добавить наименование признака дифференциации</v>
      </c>
      <c r="DB172">
        <v>0</v>
      </c>
    </row>
    <row r="173" spans="2:106" ht="14.25" customHeight="1" x14ac:dyDescent="0.15">
      <c r="E173" s="1"/>
      <c r="F173" s="1" t="s">
        <v>120</v>
      </c>
      <c r="T173" t="s">
        <v>321</v>
      </c>
      <c r="CY173" t="str">
        <f t="shared" si="3"/>
        <v>Добавить централизованную систему для дифференциации</v>
      </c>
      <c r="DB173">
        <v>0</v>
      </c>
    </row>
    <row r="174" spans="2:106" ht="23.25" customHeight="1" x14ac:dyDescent="0.15">
      <c r="B174" t="s">
        <v>355</v>
      </c>
      <c r="E174" s="1"/>
      <c r="F174" s="1" t="s">
        <v>95</v>
      </c>
      <c r="S174" t="str">
        <f>INDEX(PT_DIFFERENTIATION_NUM_TER,MATCH(B174,PT_DIFFERENTIATION_TER_ID,0))</f>
        <v>1.7</v>
      </c>
      <c r="T174" t="s">
        <v>515</v>
      </c>
      <c r="V174" s="1"/>
      <c r="W174" s="1"/>
      <c r="X174" s="1"/>
      <c r="Y174" s="1"/>
      <c r="Z174" s="1"/>
      <c r="AA174" s="1"/>
      <c r="AB174" s="1"/>
      <c r="AC174" s="1" t="str">
        <f>INDEX(PT_DIFFERENTIATION_TER,MATCH(B174,PT_DIFFERENTIATION_TER_ID,0))</f>
        <v>Территория 7</v>
      </c>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t="s">
        <v>516</v>
      </c>
      <c r="CY174" t="str">
        <f t="shared" si="3"/>
        <v>Территория действия тарифа</v>
      </c>
      <c r="DB174">
        <v>0</v>
      </c>
    </row>
    <row r="175" spans="2:106" ht="23.25" customHeight="1" x14ac:dyDescent="0.15">
      <c r="C175" t="s">
        <v>356</v>
      </c>
      <c r="E175" s="1"/>
      <c r="F175" s="1" t="s">
        <v>94</v>
      </c>
      <c r="G175" s="1">
        <v>1</v>
      </c>
      <c r="S175" t="str">
        <f>INDEX(PT_DIFFERENTIATION_NUM_CS,MATCH(C175,PT_DIFFERENTIATION_CS_ID,0))</f>
        <v>1.7.1</v>
      </c>
      <c r="T175" t="s">
        <v>631</v>
      </c>
      <c r="V175" s="1"/>
      <c r="W175" s="1"/>
      <c r="X175" s="1"/>
      <c r="Y175" s="1"/>
      <c r="Z175" s="1"/>
      <c r="AA175" s="1"/>
      <c r="AB175" s="1"/>
      <c r="AC175" s="1" t="str">
        <f>INDEX(PT_DIFFERENTIATION_CS,MATCH(C175,PT_DIFFERENTIATION_CS_ID,0))</f>
        <v>с. Снегуровка</v>
      </c>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t="s">
        <v>632</v>
      </c>
      <c r="CY175" t="str">
        <f t="shared" si="3"/>
        <v>Наименование централизованной системы водоотведения</v>
      </c>
      <c r="DB175">
        <v>0</v>
      </c>
    </row>
    <row r="176" spans="2:106" ht="23.25" customHeight="1" x14ac:dyDescent="0.15">
      <c r="E176" s="1"/>
      <c r="F176" s="1" t="s">
        <v>94</v>
      </c>
      <c r="G176" s="1"/>
      <c r="H176" s="1"/>
      <c r="I176" s="1" t="str">
        <f>S175&amp;".1"</f>
        <v>1.7.1.1</v>
      </c>
      <c r="P176" s="1">
        <v>1</v>
      </c>
      <c r="S176" t="str">
        <f>$I176</f>
        <v>1.7.1.1</v>
      </c>
      <c r="T176" t="s">
        <v>598</v>
      </c>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t="s">
        <v>599</v>
      </c>
      <c r="CY176" t="str">
        <f t="shared" si="3"/>
        <v>Наименование признака дифференциации</v>
      </c>
      <c r="DB176">
        <v>0</v>
      </c>
    </row>
    <row r="177" spans="2:106" ht="23.25" customHeight="1" x14ac:dyDescent="0.15">
      <c r="E177" s="1"/>
      <c r="F177" s="1" t="s">
        <v>94</v>
      </c>
      <c r="G177" s="1"/>
      <c r="H177" s="1"/>
      <c r="I177" s="1"/>
      <c r="J177" s="1" t="str">
        <f>I176&amp;".1"</f>
        <v>1.7.1.1.1</v>
      </c>
      <c r="L177" t="s">
        <v>524</v>
      </c>
      <c r="P177" s="1"/>
      <c r="Q177" s="1">
        <v>1</v>
      </c>
      <c r="S177" t="str">
        <f>$J177</f>
        <v>1.7.1.1.1</v>
      </c>
      <c r="T177" t="s">
        <v>525</v>
      </c>
      <c r="V177" s="1"/>
      <c r="W177" s="1"/>
      <c r="X177" s="1"/>
      <c r="Y177" s="1"/>
      <c r="Z177" s="1"/>
      <c r="AA177" s="1"/>
      <c r="AB177" s="1"/>
      <c r="AC177" s="1" t="s">
        <v>636</v>
      </c>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t="s">
        <v>600</v>
      </c>
      <c r="CY177" t="str">
        <f t="shared" si="3"/>
        <v>Группа потребителей</v>
      </c>
      <c r="DB177">
        <v>0</v>
      </c>
    </row>
    <row r="178" spans="2:106" ht="23.25" customHeight="1" x14ac:dyDescent="0.15">
      <c r="E178" s="1"/>
      <c r="F178" s="1" t="s">
        <v>94</v>
      </c>
      <c r="G178" s="1"/>
      <c r="H178" s="1"/>
      <c r="I178" s="1"/>
      <c r="J178" s="1"/>
      <c r="K178" s="1" t="str">
        <f>J177&amp;".1"</f>
        <v>1.7.1.1.1.1</v>
      </c>
      <c r="P178" s="1"/>
      <c r="Q178" s="1"/>
      <c r="R178">
        <v>1</v>
      </c>
      <c r="S178" t="str">
        <f>$K178</f>
        <v>1.7.1.1.1.1</v>
      </c>
      <c r="Y178" s="1"/>
      <c r="Z178" s="1" t="s">
        <v>63</v>
      </c>
      <c r="AA178" s="1"/>
      <c r="AB178" s="1" t="s">
        <v>63</v>
      </c>
      <c r="AC178">
        <v>54.01</v>
      </c>
      <c r="AF178" s="1">
        <v>45292.715509259258</v>
      </c>
      <c r="AG178" s="1" t="s">
        <v>63</v>
      </c>
      <c r="AH178" s="1">
        <v>45473.715671296297</v>
      </c>
      <c r="AI178" s="1" t="s">
        <v>63</v>
      </c>
      <c r="AJ178">
        <v>63.73</v>
      </c>
      <c r="AM178" s="1">
        <v>45474.715798611112</v>
      </c>
      <c r="AN178" s="1" t="s">
        <v>63</v>
      </c>
      <c r="AO178" s="1">
        <v>45657.715937499997</v>
      </c>
      <c r="AP178" s="1" t="s">
        <v>63</v>
      </c>
      <c r="AQ178">
        <v>63.73</v>
      </c>
      <c r="AT178" s="1">
        <v>45658.71607638889</v>
      </c>
      <c r="AU178" s="1" t="s">
        <v>63</v>
      </c>
      <c r="AV178" s="1">
        <v>45838.716157407405</v>
      </c>
      <c r="AW178" s="1" t="s">
        <v>63</v>
      </c>
      <c r="AX178">
        <v>71.39</v>
      </c>
      <c r="BA178" s="1">
        <v>45839.716331018521</v>
      </c>
      <c r="BB178" s="1" t="s">
        <v>63</v>
      </c>
      <c r="BC178" s="1">
        <v>46022.716469907406</v>
      </c>
      <c r="BD178" s="1" t="s">
        <v>63</v>
      </c>
      <c r="BE178">
        <v>71.39</v>
      </c>
      <c r="BH178" s="1">
        <v>46023.716666666667</v>
      </c>
      <c r="BI178" s="1" t="s">
        <v>63</v>
      </c>
      <c r="BJ178" s="1">
        <v>46203.716863425929</v>
      </c>
      <c r="BK178" s="1" t="s">
        <v>63</v>
      </c>
      <c r="BL178">
        <v>75.67</v>
      </c>
      <c r="BO178" s="1">
        <v>46204.717245370368</v>
      </c>
      <c r="BP178" s="1" t="s">
        <v>63</v>
      </c>
      <c r="BQ178" s="1">
        <v>46387.717488425929</v>
      </c>
      <c r="BR178" s="1" t="s">
        <v>63</v>
      </c>
      <c r="BS178">
        <v>75.67</v>
      </c>
      <c r="BV178" s="1">
        <v>46388.718472222223</v>
      </c>
      <c r="BW178" s="1" t="s">
        <v>63</v>
      </c>
      <c r="BX178" s="1">
        <v>46568.718622685185</v>
      </c>
      <c r="BY178" s="1" t="s">
        <v>63</v>
      </c>
      <c r="BZ178">
        <v>80.209999999999994</v>
      </c>
      <c r="CC178" s="1">
        <v>46569.718900462962</v>
      </c>
      <c r="CD178" s="1" t="s">
        <v>63</v>
      </c>
      <c r="CE178" s="1">
        <v>46752.719166666669</v>
      </c>
      <c r="CF178" s="1" t="s">
        <v>63</v>
      </c>
      <c r="CG178">
        <v>80.209999999999994</v>
      </c>
      <c r="CJ178" s="1">
        <v>46753.719953703701</v>
      </c>
      <c r="CK178" s="1" t="s">
        <v>63</v>
      </c>
      <c r="CL178" s="1">
        <v>46934.720254629632</v>
      </c>
      <c r="CM178" s="1" t="s">
        <v>63</v>
      </c>
      <c r="CN178">
        <v>85.61</v>
      </c>
      <c r="CQ178" s="1">
        <v>46935.720543981479</v>
      </c>
      <c r="CR178" s="1" t="s">
        <v>63</v>
      </c>
      <c r="CS178" s="1">
        <v>47118.72079861111</v>
      </c>
      <c r="CT178" s="1" t="s">
        <v>63</v>
      </c>
      <c r="CV17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78" t="e">
        <f ca="1">STRCHECKDATE(V179:CU179)</f>
        <v>#NAME?</v>
      </c>
      <c r="CY178" t="str">
        <f t="shared" si="3"/>
        <v/>
      </c>
      <c r="DB178">
        <v>0</v>
      </c>
    </row>
    <row r="179" spans="2:106" ht="14.25" customHeight="1" x14ac:dyDescent="0.15">
      <c r="E179" s="1"/>
      <c r="F179" s="1" t="s">
        <v>94</v>
      </c>
      <c r="G179" s="1"/>
      <c r="H179" s="1"/>
      <c r="I179" s="1"/>
      <c r="J179" s="1"/>
      <c r="K179" s="1"/>
      <c r="P179" s="1"/>
      <c r="Q179" s="1"/>
      <c r="X179" t="str">
        <f>Y178&amp;"-"&amp;AA178</f>
        <v>-</v>
      </c>
      <c r="Y179" s="1"/>
      <c r="Z179" s="1"/>
      <c r="AA179" s="1"/>
      <c r="AB179" s="1"/>
      <c r="AE179" t="str">
        <f>AF178&amp;"-"&amp;AH178</f>
        <v>45292,7155092593-45473,7156712963</v>
      </c>
      <c r="AF179" s="1"/>
      <c r="AG179" s="1"/>
      <c r="AH179" s="1"/>
      <c r="AI179" s="1"/>
      <c r="AL179" t="str">
        <f>AM178&amp;"-"&amp;AO178</f>
        <v>45474,7157986111-45657,7159375</v>
      </c>
      <c r="AM179" s="1"/>
      <c r="AN179" s="1"/>
      <c r="AO179" s="1"/>
      <c r="AP179" s="1"/>
      <c r="AS179" t="str">
        <f>AT178&amp;"-"&amp;AV178</f>
        <v>45658,7160763889-45838,7161574074</v>
      </c>
      <c r="AT179" s="1"/>
      <c r="AU179" s="1"/>
      <c r="AV179" s="1"/>
      <c r="AW179" s="1"/>
      <c r="AZ179" t="str">
        <f>BA178&amp;"-"&amp;BC178</f>
        <v>45839,7163310185-46022,7164699074</v>
      </c>
      <c r="BA179" s="1"/>
      <c r="BB179" s="1"/>
      <c r="BC179" s="1"/>
      <c r="BD179" s="1"/>
      <c r="BG179" t="str">
        <f>BH178&amp;"-"&amp;BJ178</f>
        <v>46023,7166666667-46203,7168634259</v>
      </c>
      <c r="BH179" s="1"/>
      <c r="BI179" s="1"/>
      <c r="BJ179" s="1"/>
      <c r="BK179" s="1"/>
      <c r="BN179" t="str">
        <f>BO178&amp;"-"&amp;BQ178</f>
        <v>46204,7172453704-46387,7174884259</v>
      </c>
      <c r="BO179" s="1"/>
      <c r="BP179" s="1"/>
      <c r="BQ179" s="1"/>
      <c r="BR179" s="1"/>
      <c r="BU179" t="str">
        <f>BV178&amp;"-"&amp;BX178</f>
        <v>46388,7184722222-46568,7186226852</v>
      </c>
      <c r="BV179" s="1"/>
      <c r="BW179" s="1"/>
      <c r="BX179" s="1"/>
      <c r="BY179" s="1"/>
      <c r="CB179" t="str">
        <f>CC178&amp;"-"&amp;CE178</f>
        <v>46569,718900463-46752,7191666667</v>
      </c>
      <c r="CC179" s="1"/>
      <c r="CD179" s="1"/>
      <c r="CE179" s="1"/>
      <c r="CF179" s="1"/>
      <c r="CI179" t="str">
        <f>CJ178&amp;"-"&amp;CL178</f>
        <v>46753,7199537037-46934,7202546296</v>
      </c>
      <c r="CJ179" s="1"/>
      <c r="CK179" s="1"/>
      <c r="CL179" s="1"/>
      <c r="CM179" s="1"/>
      <c r="CP179" t="str">
        <f>CQ178&amp;"-"&amp;CS178</f>
        <v>46935,7205439815-47118,7207986111</v>
      </c>
      <c r="CQ179" s="1"/>
      <c r="CR179" s="1"/>
      <c r="CS179" s="1"/>
      <c r="CT179" s="1"/>
      <c r="CV179" s="1"/>
      <c r="CY179" t="str">
        <f t="shared" si="3"/>
        <v/>
      </c>
      <c r="DB179">
        <v>0</v>
      </c>
    </row>
    <row r="180" spans="2:106" ht="21" customHeight="1" x14ac:dyDescent="0.15">
      <c r="E180" s="1"/>
      <c r="F180" s="1" t="s">
        <v>94</v>
      </c>
      <c r="G180" s="1"/>
      <c r="H180" s="1"/>
      <c r="I180" s="1"/>
      <c r="J180" s="1"/>
      <c r="P180" s="1"/>
      <c r="Q180" s="1"/>
      <c r="T180" t="s">
        <v>601</v>
      </c>
      <c r="CV180" t="s">
        <v>602</v>
      </c>
      <c r="CY180" t="str">
        <f t="shared" si="3"/>
        <v>Добавить значение признака дифференциации</v>
      </c>
      <c r="DB180">
        <v>0</v>
      </c>
    </row>
    <row r="181" spans="2:106" ht="23.25" customHeight="1" x14ac:dyDescent="0.15">
      <c r="E181" s="1"/>
      <c r="F181" s="1"/>
      <c r="G181" s="1"/>
      <c r="H181" s="1"/>
      <c r="I181" s="1"/>
      <c r="J181" s="1" t="str">
        <f>I176&amp;".2"</f>
        <v>1.7.1.1.2</v>
      </c>
      <c r="L181" t="s">
        <v>524</v>
      </c>
      <c r="P181" s="1"/>
      <c r="Q181" s="1" t="s">
        <v>106</v>
      </c>
      <c r="S181" t="str">
        <f>$J181</f>
        <v>1.7.1.1.2</v>
      </c>
      <c r="T181" t="s">
        <v>525</v>
      </c>
      <c r="V181" s="1"/>
      <c r="W181" s="1"/>
      <c r="X181" s="1"/>
      <c r="Y181" s="1"/>
      <c r="Z181" s="1"/>
      <c r="AA181" s="1"/>
      <c r="AB181" s="1"/>
      <c r="AC181" s="1" t="s">
        <v>637</v>
      </c>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t="s">
        <v>600</v>
      </c>
      <c r="CY181" t="str">
        <f t="shared" si="3"/>
        <v>Группа потребителей</v>
      </c>
      <c r="DB181">
        <v>0</v>
      </c>
    </row>
    <row r="182" spans="2:106" ht="23.25" customHeight="1" x14ac:dyDescent="0.15">
      <c r="E182" s="1"/>
      <c r="F182" s="1"/>
      <c r="G182" s="1"/>
      <c r="H182" s="1"/>
      <c r="I182" s="1"/>
      <c r="J182" s="1" t="str">
        <f>I176&amp;".1"</f>
        <v>1.7.1.1.1</v>
      </c>
      <c r="K182" s="1" t="str">
        <f>J181&amp;".1"</f>
        <v>1.7.1.1.2.1</v>
      </c>
      <c r="P182" s="1"/>
      <c r="Q182" s="1"/>
      <c r="R182">
        <v>1</v>
      </c>
      <c r="S182" t="str">
        <f>$K182</f>
        <v>1.7.1.1.2.1</v>
      </c>
      <c r="Y182" s="1"/>
      <c r="Z182" s="1" t="s">
        <v>63</v>
      </c>
      <c r="AA182" s="1"/>
      <c r="AB182" s="1" t="s">
        <v>63</v>
      </c>
      <c r="AC182">
        <v>45.01</v>
      </c>
      <c r="AF182" s="1">
        <v>45292.715613425928</v>
      </c>
      <c r="AG182" s="1" t="s">
        <v>63</v>
      </c>
      <c r="AH182" s="1">
        <v>45473.715740740743</v>
      </c>
      <c r="AI182" s="1" t="s">
        <v>63</v>
      </c>
      <c r="AJ182">
        <v>53.11</v>
      </c>
      <c r="AM182" s="1">
        <v>45474.715879629628</v>
      </c>
      <c r="AN182" s="1" t="s">
        <v>63</v>
      </c>
      <c r="AO182" s="1">
        <v>45657.71597222222</v>
      </c>
      <c r="AP182" s="1" t="s">
        <v>63</v>
      </c>
      <c r="AQ182">
        <v>53.11</v>
      </c>
      <c r="AT182" s="1">
        <v>45658.716122685182</v>
      </c>
      <c r="AU182" s="1" t="s">
        <v>63</v>
      </c>
      <c r="AV182" s="1">
        <v>45838.716226851851</v>
      </c>
      <c r="AW182" s="1" t="s">
        <v>63</v>
      </c>
      <c r="AX182">
        <v>59.49</v>
      </c>
      <c r="BA182" s="1">
        <v>45839.716400462959</v>
      </c>
      <c r="BB182" s="1" t="s">
        <v>63</v>
      </c>
      <c r="BC182" s="1">
        <v>46022.716550925928</v>
      </c>
      <c r="BD182" s="1" t="s">
        <v>63</v>
      </c>
      <c r="BE182">
        <v>59.49</v>
      </c>
      <c r="BH182" s="1">
        <v>46023.71675925926</v>
      </c>
      <c r="BI182" s="1" t="s">
        <v>63</v>
      </c>
      <c r="BJ182" s="1">
        <v>46203.717129629629</v>
      </c>
      <c r="BK182" s="1" t="s">
        <v>63</v>
      </c>
      <c r="BL182">
        <v>63.06</v>
      </c>
      <c r="BO182" s="1">
        <v>46204.717361111114</v>
      </c>
      <c r="BP182" s="1" t="s">
        <v>63</v>
      </c>
      <c r="BQ182" s="1">
        <v>46387.717581018522</v>
      </c>
      <c r="BR182" s="1" t="s">
        <v>63</v>
      </c>
      <c r="BS182">
        <v>63.06</v>
      </c>
      <c r="BV182" s="1">
        <v>46388.718553240738</v>
      </c>
      <c r="BW182" s="1" t="s">
        <v>63</v>
      </c>
      <c r="BX182" s="1">
        <v>46568.718726851854</v>
      </c>
      <c r="BY182" s="1" t="s">
        <v>63</v>
      </c>
      <c r="BZ182">
        <v>66.84</v>
      </c>
      <c r="CC182" s="1">
        <v>46388.7190162037</v>
      </c>
      <c r="CD182" s="1" t="s">
        <v>63</v>
      </c>
      <c r="CE182" s="1">
        <v>46752.719525462962</v>
      </c>
      <c r="CF182" s="1" t="s">
        <v>63</v>
      </c>
      <c r="CG182">
        <v>66.84</v>
      </c>
      <c r="CJ182" s="1">
        <v>46753.720092592594</v>
      </c>
      <c r="CK182" s="1" t="s">
        <v>63</v>
      </c>
      <c r="CL182" s="1">
        <v>46934.720381944448</v>
      </c>
      <c r="CM182" s="1" t="s">
        <v>63</v>
      </c>
      <c r="CN182">
        <v>71.34</v>
      </c>
      <c r="CQ182" s="1">
        <v>46935.720682870371</v>
      </c>
      <c r="CR182" s="1" t="s">
        <v>63</v>
      </c>
      <c r="CS182" s="1">
        <v>47118.720879629633</v>
      </c>
      <c r="CT182" s="1" t="s">
        <v>63</v>
      </c>
      <c r="CV18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82" t="e">
        <f ca="1">STRCHECKDATE(V183:CU183)</f>
        <v>#NAME?</v>
      </c>
      <c r="CY182" t="str">
        <f t="shared" si="3"/>
        <v/>
      </c>
      <c r="DB182">
        <v>0</v>
      </c>
    </row>
    <row r="183" spans="2:106" ht="14.25" customHeight="1" x14ac:dyDescent="0.15">
      <c r="E183" s="1"/>
      <c r="F183" s="1"/>
      <c r="G183" s="1"/>
      <c r="H183" s="1"/>
      <c r="I183" s="1"/>
      <c r="J183" s="1" t="str">
        <f>I176&amp;".1"</f>
        <v>1.7.1.1.1</v>
      </c>
      <c r="K183" s="1"/>
      <c r="P183" s="1"/>
      <c r="Q183" s="1"/>
      <c r="X183" t="str">
        <f>Y182&amp;"-"&amp;AA182</f>
        <v>-</v>
      </c>
      <c r="Y183" s="1"/>
      <c r="Z183" s="1"/>
      <c r="AA183" s="1"/>
      <c r="AB183" s="1"/>
      <c r="AE183" t="str">
        <f>AF182&amp;"-"&amp;AH182</f>
        <v>45292,7156134259-45473,7157407407</v>
      </c>
      <c r="AF183" s="1"/>
      <c r="AG183" s="1"/>
      <c r="AH183" s="1"/>
      <c r="AI183" s="1"/>
      <c r="AL183" t="str">
        <f>AM182&amp;"-"&amp;AO182</f>
        <v>45474,7158796296-45657,7159722222</v>
      </c>
      <c r="AM183" s="1"/>
      <c r="AN183" s="1"/>
      <c r="AO183" s="1"/>
      <c r="AP183" s="1"/>
      <c r="AS183" t="str">
        <f>AT182&amp;"-"&amp;AV182</f>
        <v>45658,7161226852-45838,7162268519</v>
      </c>
      <c r="AT183" s="1"/>
      <c r="AU183" s="1"/>
      <c r="AV183" s="1"/>
      <c r="AW183" s="1"/>
      <c r="AZ183" t="str">
        <f>BA182&amp;"-"&amp;BC182</f>
        <v>45839,716400463-46022,7165509259</v>
      </c>
      <c r="BA183" s="1"/>
      <c r="BB183" s="1"/>
      <c r="BC183" s="1"/>
      <c r="BD183" s="1"/>
      <c r="BG183" t="str">
        <f>BH182&amp;"-"&amp;BJ182</f>
        <v>46023,7167592593-46203,7171296296</v>
      </c>
      <c r="BH183" s="1"/>
      <c r="BI183" s="1"/>
      <c r="BJ183" s="1"/>
      <c r="BK183" s="1"/>
      <c r="BN183" t="str">
        <f>BO182&amp;"-"&amp;BQ182</f>
        <v>46204,7173611111-46387,7175810185</v>
      </c>
      <c r="BO183" s="1"/>
      <c r="BP183" s="1"/>
      <c r="BQ183" s="1"/>
      <c r="BR183" s="1"/>
      <c r="BU183" t="str">
        <f>BV182&amp;"-"&amp;BX182</f>
        <v>46388,7185532407-46568,7187268519</v>
      </c>
      <c r="BV183" s="1"/>
      <c r="BW183" s="1"/>
      <c r="BX183" s="1"/>
      <c r="BY183" s="1"/>
      <c r="CB183" t="str">
        <f>CC182&amp;"-"&amp;CE182</f>
        <v>46388,7190162037-46752,719525463</v>
      </c>
      <c r="CC183" s="1"/>
      <c r="CD183" s="1"/>
      <c r="CE183" s="1"/>
      <c r="CF183" s="1"/>
      <c r="CI183" t="str">
        <f>CJ182&amp;"-"&amp;CL182</f>
        <v>46753,7200925926-46934,7203819444</v>
      </c>
      <c r="CJ183" s="1"/>
      <c r="CK183" s="1"/>
      <c r="CL183" s="1"/>
      <c r="CM183" s="1"/>
      <c r="CP183" t="str">
        <f>CQ182&amp;"-"&amp;CS182</f>
        <v>46935,7206828704-47118,7208796296</v>
      </c>
      <c r="CQ183" s="1"/>
      <c r="CR183" s="1"/>
      <c r="CS183" s="1"/>
      <c r="CT183" s="1"/>
      <c r="CV183" s="1"/>
      <c r="CY183" t="str">
        <f t="shared" si="3"/>
        <v/>
      </c>
      <c r="DB183">
        <v>0</v>
      </c>
    </row>
    <row r="184" spans="2:106" ht="21" customHeight="1" x14ac:dyDescent="0.15">
      <c r="E184" s="1"/>
      <c r="F184" s="1"/>
      <c r="G184" s="1"/>
      <c r="H184" s="1"/>
      <c r="I184" s="1"/>
      <c r="J184" s="1" t="str">
        <f>I176&amp;".1"</f>
        <v>1.7.1.1.1</v>
      </c>
      <c r="P184" s="1"/>
      <c r="Q184" s="1"/>
      <c r="T184" t="s">
        <v>601</v>
      </c>
      <c r="CV184" t="s">
        <v>602</v>
      </c>
      <c r="CY184" t="str">
        <f t="shared" si="3"/>
        <v>Добавить значение признака дифференциации</v>
      </c>
      <c r="DB184">
        <v>0</v>
      </c>
    </row>
    <row r="185" spans="2:106" ht="21" customHeight="1" x14ac:dyDescent="0.15">
      <c r="E185" s="1"/>
      <c r="F185" s="1" t="s">
        <v>94</v>
      </c>
      <c r="G185" s="1"/>
      <c r="H185" s="1"/>
      <c r="I185" s="1"/>
      <c r="P185" s="1"/>
      <c r="T185" t="s">
        <v>530</v>
      </c>
      <c r="CY185" t="str">
        <f t="shared" si="3"/>
        <v>Добавить группу потребителей</v>
      </c>
      <c r="DB185">
        <v>0</v>
      </c>
    </row>
    <row r="186" spans="2:106" ht="21" customHeight="1" x14ac:dyDescent="0.15">
      <c r="E186" s="1"/>
      <c r="F186" s="1" t="s">
        <v>94</v>
      </c>
      <c r="G186" s="1"/>
      <c r="H186" s="1"/>
      <c r="T186" t="s">
        <v>603</v>
      </c>
      <c r="CY186" t="str">
        <f t="shared" si="3"/>
        <v>Добавить наименование признака дифференциации</v>
      </c>
      <c r="DB186">
        <v>0</v>
      </c>
    </row>
    <row r="187" spans="2:106" ht="14.25" customHeight="1" x14ac:dyDescent="0.15">
      <c r="E187" s="1"/>
      <c r="F187" s="1" t="s">
        <v>94</v>
      </c>
      <c r="T187" t="s">
        <v>321</v>
      </c>
      <c r="CY187" t="str">
        <f t="shared" si="3"/>
        <v>Добавить централизованную систему для дифференциации</v>
      </c>
      <c r="DB187">
        <v>0</v>
      </c>
    </row>
    <row r="188" spans="2:106" ht="23.25" customHeight="1" x14ac:dyDescent="0.15">
      <c r="B188" t="s">
        <v>359</v>
      </c>
      <c r="E188" s="1"/>
      <c r="F188" s="1" t="s">
        <v>134</v>
      </c>
      <c r="S188" t="str">
        <f>INDEX(PT_DIFFERENTIATION_NUM_TER,MATCH(B188,PT_DIFFERENTIATION_TER_ID,0))</f>
        <v>1.8</v>
      </c>
      <c r="T188" t="s">
        <v>515</v>
      </c>
      <c r="V188" s="1"/>
      <c r="W188" s="1"/>
      <c r="X188" s="1"/>
      <c r="Y188" s="1"/>
      <c r="Z188" s="1"/>
      <c r="AA188" s="1"/>
      <c r="AB188" s="1"/>
      <c r="AC188" s="1" t="str">
        <f>INDEX(PT_DIFFERENTIATION_TER,MATCH(B188,PT_DIFFERENTIATION_TER_ID,0))</f>
        <v>Территория 8</v>
      </c>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t="s">
        <v>516</v>
      </c>
      <c r="CY188" t="str">
        <f t="shared" si="3"/>
        <v>Территория действия тарифа</v>
      </c>
      <c r="DB188">
        <v>0</v>
      </c>
    </row>
    <row r="189" spans="2:106" ht="23.25" customHeight="1" x14ac:dyDescent="0.15">
      <c r="C189" t="s">
        <v>360</v>
      </c>
      <c r="E189" s="1"/>
      <c r="F189" s="1" t="s">
        <v>95</v>
      </c>
      <c r="G189" s="1">
        <v>1</v>
      </c>
      <c r="S189" t="str">
        <f>INDEX(PT_DIFFERENTIATION_NUM_CS,MATCH(C189,PT_DIFFERENTIATION_CS_ID,0))</f>
        <v>1.8.1</v>
      </c>
      <c r="T189" t="s">
        <v>631</v>
      </c>
      <c r="V189" s="1"/>
      <c r="W189" s="1"/>
      <c r="X189" s="1"/>
      <c r="Y189" s="1"/>
      <c r="Z189" s="1"/>
      <c r="AA189" s="1"/>
      <c r="AB189" s="1"/>
      <c r="AC189" s="1" t="str">
        <f>INDEX(PT_DIFFERENTIATION_CS,MATCH(C189,PT_DIFFERENTIATION_CS_ID,0))</f>
        <v>с. Черниговка</v>
      </c>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t="s">
        <v>632</v>
      </c>
      <c r="CY189" t="str">
        <f t="shared" si="3"/>
        <v>Наименование централизованной системы водоотведения</v>
      </c>
      <c r="DB189">
        <v>0</v>
      </c>
    </row>
    <row r="190" spans="2:106" ht="23.25" customHeight="1" x14ac:dyDescent="0.15">
      <c r="E190" s="1"/>
      <c r="F190" s="1" t="s">
        <v>95</v>
      </c>
      <c r="G190" s="1"/>
      <c r="H190" s="1"/>
      <c r="I190" s="1" t="str">
        <f>S189&amp;".1"</f>
        <v>1.8.1.1</v>
      </c>
      <c r="P190" s="1">
        <v>1</v>
      </c>
      <c r="S190" t="str">
        <f>$I190</f>
        <v>1.8.1.1</v>
      </c>
      <c r="T190" t="s">
        <v>598</v>
      </c>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t="s">
        <v>599</v>
      </c>
      <c r="CY190" t="str">
        <f t="shared" si="3"/>
        <v>Наименование признака дифференциации</v>
      </c>
      <c r="DB190">
        <v>0</v>
      </c>
    </row>
    <row r="191" spans="2:106" ht="23.25" customHeight="1" x14ac:dyDescent="0.15">
      <c r="E191" s="1"/>
      <c r="F191" s="1" t="s">
        <v>95</v>
      </c>
      <c r="G191" s="1"/>
      <c r="H191" s="1"/>
      <c r="I191" s="1"/>
      <c r="J191" s="1" t="str">
        <f>I190&amp;".1"</f>
        <v>1.8.1.1.1</v>
      </c>
      <c r="L191" t="s">
        <v>524</v>
      </c>
      <c r="P191" s="1"/>
      <c r="Q191" s="1">
        <v>1</v>
      </c>
      <c r="S191" t="str">
        <f>$J191</f>
        <v>1.8.1.1.1</v>
      </c>
      <c r="T191" t="s">
        <v>525</v>
      </c>
      <c r="V191" s="1"/>
      <c r="W191" s="1"/>
      <c r="X191" s="1"/>
      <c r="Y191" s="1"/>
      <c r="Z191" s="1"/>
      <c r="AA191" s="1"/>
      <c r="AB191" s="1"/>
      <c r="AC191" s="1" t="s">
        <v>636</v>
      </c>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t="s">
        <v>600</v>
      </c>
      <c r="CY191" t="str">
        <f t="shared" si="3"/>
        <v>Группа потребителей</v>
      </c>
      <c r="DB191">
        <v>0</v>
      </c>
    </row>
    <row r="192" spans="2:106" ht="23.25" customHeight="1" x14ac:dyDescent="0.15">
      <c r="E192" s="1"/>
      <c r="F192" s="1" t="s">
        <v>95</v>
      </c>
      <c r="G192" s="1"/>
      <c r="H192" s="1"/>
      <c r="I192" s="1"/>
      <c r="J192" s="1"/>
      <c r="K192" s="1" t="str">
        <f>J191&amp;".1"</f>
        <v>1.8.1.1.1.1</v>
      </c>
      <c r="P192" s="1"/>
      <c r="Q192" s="1"/>
      <c r="R192">
        <v>1</v>
      </c>
      <c r="S192" t="str">
        <f>$K192</f>
        <v>1.8.1.1.1.1</v>
      </c>
      <c r="Y192" s="1"/>
      <c r="Z192" s="1" t="s">
        <v>63</v>
      </c>
      <c r="AA192" s="1"/>
      <c r="AB192" s="1" t="s">
        <v>63</v>
      </c>
      <c r="AC192">
        <v>36.840000000000003</v>
      </c>
      <c r="AF192" s="1">
        <v>45292.725659722222</v>
      </c>
      <c r="AG192" s="1" t="s">
        <v>63</v>
      </c>
      <c r="AH192" s="1">
        <v>45473.725868055553</v>
      </c>
      <c r="AI192" s="1" t="s">
        <v>63</v>
      </c>
      <c r="AJ192">
        <v>47.89</v>
      </c>
      <c r="AM192" s="1">
        <v>45474.726157407407</v>
      </c>
      <c r="AN192" s="1" t="s">
        <v>63</v>
      </c>
      <c r="AO192" s="1">
        <v>45657.726319444446</v>
      </c>
      <c r="AP192" s="1" t="s">
        <v>63</v>
      </c>
      <c r="AQ192">
        <v>47.89</v>
      </c>
      <c r="AT192" s="1">
        <v>45658.726469907408</v>
      </c>
      <c r="AU192" s="1" t="s">
        <v>63</v>
      </c>
      <c r="AV192" s="1">
        <v>45838.726620370369</v>
      </c>
      <c r="AW192" s="1" t="s">
        <v>63</v>
      </c>
      <c r="AX192">
        <v>59.39</v>
      </c>
      <c r="BA192" s="1">
        <v>45839.726886574077</v>
      </c>
      <c r="BB192" s="1" t="s">
        <v>63</v>
      </c>
      <c r="BC192" s="1">
        <v>46022.727164351854</v>
      </c>
      <c r="BD192" s="1" t="s">
        <v>63</v>
      </c>
      <c r="BE192">
        <v>59.39</v>
      </c>
      <c r="BH192" s="1">
        <v>46023.727326388886</v>
      </c>
      <c r="BI192" s="1" t="s">
        <v>63</v>
      </c>
      <c r="BJ192" s="1">
        <v>46203.727465277778</v>
      </c>
      <c r="BK192" s="1" t="s">
        <v>63</v>
      </c>
      <c r="BL192">
        <v>61.18</v>
      </c>
      <c r="BO192" s="1">
        <v>46204.727777777778</v>
      </c>
      <c r="BP192" s="1" t="s">
        <v>63</v>
      </c>
      <c r="BQ192" s="1">
        <v>46387.728009259263</v>
      </c>
      <c r="BR192" s="1" t="s">
        <v>63</v>
      </c>
      <c r="BS192">
        <v>61.18</v>
      </c>
      <c r="BV192" s="1">
        <v>46388.728356481479</v>
      </c>
      <c r="BW192" s="1" t="s">
        <v>63</v>
      </c>
      <c r="BX192" s="1">
        <v>46568.72859953704</v>
      </c>
      <c r="BY192" s="1" t="s">
        <v>63</v>
      </c>
      <c r="BZ192">
        <v>61.79</v>
      </c>
      <c r="CC192" s="1">
        <v>46569.728993055556</v>
      </c>
      <c r="CD192" s="1" t="s">
        <v>63</v>
      </c>
      <c r="CE192" s="1">
        <v>46752.729351851849</v>
      </c>
      <c r="CF192" s="1" t="s">
        <v>63</v>
      </c>
      <c r="CG192">
        <v>61.79</v>
      </c>
      <c r="CJ192" s="1">
        <v>46753.729768518519</v>
      </c>
      <c r="CK192" s="1" t="s">
        <v>63</v>
      </c>
      <c r="CL192" s="1">
        <v>46934.72996527778</v>
      </c>
      <c r="CM192" s="1" t="s">
        <v>63</v>
      </c>
      <c r="CN192">
        <v>62.23</v>
      </c>
      <c r="CQ192" s="1">
        <v>46935.730324074073</v>
      </c>
      <c r="CR192" s="1" t="s">
        <v>63</v>
      </c>
      <c r="CS192" s="1">
        <v>47118.730590277781</v>
      </c>
      <c r="CT192" s="1" t="s">
        <v>63</v>
      </c>
      <c r="CV19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92" t="e">
        <f ca="1">STRCHECKDATE(V193:CU193)</f>
        <v>#NAME?</v>
      </c>
      <c r="CY192" t="str">
        <f t="shared" si="3"/>
        <v/>
      </c>
      <c r="DB192">
        <v>0</v>
      </c>
    </row>
    <row r="193" spans="2:106" ht="14.25" customHeight="1" x14ac:dyDescent="0.15">
      <c r="E193" s="1"/>
      <c r="F193" s="1" t="s">
        <v>95</v>
      </c>
      <c r="G193" s="1"/>
      <c r="H193" s="1"/>
      <c r="I193" s="1"/>
      <c r="J193" s="1"/>
      <c r="K193" s="1"/>
      <c r="P193" s="1"/>
      <c r="Q193" s="1"/>
      <c r="X193" t="str">
        <f>Y192&amp;"-"&amp;AA192</f>
        <v>-</v>
      </c>
      <c r="Y193" s="1"/>
      <c r="Z193" s="1"/>
      <c r="AA193" s="1"/>
      <c r="AB193" s="1"/>
      <c r="AE193" t="str">
        <f>AF192&amp;"-"&amp;AH192</f>
        <v>45292,7256597222-45473,7258680556</v>
      </c>
      <c r="AF193" s="1"/>
      <c r="AG193" s="1"/>
      <c r="AH193" s="1"/>
      <c r="AI193" s="1"/>
      <c r="AL193" t="str">
        <f>AM192&amp;"-"&amp;AO192</f>
        <v>45474,7261574074-45657,7263194444</v>
      </c>
      <c r="AM193" s="1"/>
      <c r="AN193" s="1"/>
      <c r="AO193" s="1"/>
      <c r="AP193" s="1"/>
      <c r="AS193" t="str">
        <f>AT192&amp;"-"&amp;AV192</f>
        <v>45658,7264699074-45838,7266203704</v>
      </c>
      <c r="AT193" s="1"/>
      <c r="AU193" s="1"/>
      <c r="AV193" s="1"/>
      <c r="AW193" s="1"/>
      <c r="AZ193" t="str">
        <f>BA192&amp;"-"&amp;BC192</f>
        <v>45839,7268865741-46022,7271643519</v>
      </c>
      <c r="BA193" s="1"/>
      <c r="BB193" s="1"/>
      <c r="BC193" s="1"/>
      <c r="BD193" s="1"/>
      <c r="BG193" t="str">
        <f>BH192&amp;"-"&amp;BJ192</f>
        <v>46023,7273263889-46203,7274652778</v>
      </c>
      <c r="BH193" s="1"/>
      <c r="BI193" s="1"/>
      <c r="BJ193" s="1"/>
      <c r="BK193" s="1"/>
      <c r="BN193" t="str">
        <f>BO192&amp;"-"&amp;BQ192</f>
        <v>46204,7277777778-46387,7280092593</v>
      </c>
      <c r="BO193" s="1"/>
      <c r="BP193" s="1"/>
      <c r="BQ193" s="1"/>
      <c r="BR193" s="1"/>
      <c r="BU193" t="str">
        <f>BV192&amp;"-"&amp;BX192</f>
        <v>46388,7283564815-46568,728599537</v>
      </c>
      <c r="BV193" s="1"/>
      <c r="BW193" s="1"/>
      <c r="BX193" s="1"/>
      <c r="BY193" s="1"/>
      <c r="CB193" t="str">
        <f>CC192&amp;"-"&amp;CE192</f>
        <v>46569,7289930556-46752,7293518518</v>
      </c>
      <c r="CC193" s="1"/>
      <c r="CD193" s="1"/>
      <c r="CE193" s="1"/>
      <c r="CF193" s="1"/>
      <c r="CI193" t="str">
        <f>CJ192&amp;"-"&amp;CL192</f>
        <v>46753,7297685185-46934,7299652778</v>
      </c>
      <c r="CJ193" s="1"/>
      <c r="CK193" s="1"/>
      <c r="CL193" s="1"/>
      <c r="CM193" s="1"/>
      <c r="CP193" t="str">
        <f>CQ192&amp;"-"&amp;CS192</f>
        <v>46935,7303240741-47118,7305902778</v>
      </c>
      <c r="CQ193" s="1"/>
      <c r="CR193" s="1"/>
      <c r="CS193" s="1"/>
      <c r="CT193" s="1"/>
      <c r="CV193" s="1"/>
      <c r="CY193" t="str">
        <f t="shared" si="3"/>
        <v/>
      </c>
      <c r="DB193">
        <v>0</v>
      </c>
    </row>
    <row r="194" spans="2:106" ht="21" customHeight="1" x14ac:dyDescent="0.15">
      <c r="E194" s="1"/>
      <c r="F194" s="1" t="s">
        <v>95</v>
      </c>
      <c r="G194" s="1"/>
      <c r="H194" s="1"/>
      <c r="I194" s="1"/>
      <c r="J194" s="1"/>
      <c r="P194" s="1"/>
      <c r="Q194" s="1"/>
      <c r="T194" t="s">
        <v>601</v>
      </c>
      <c r="CV194" t="s">
        <v>602</v>
      </c>
      <c r="CY194" t="str">
        <f t="shared" si="3"/>
        <v>Добавить значение признака дифференциации</v>
      </c>
      <c r="DB194">
        <v>0</v>
      </c>
    </row>
    <row r="195" spans="2:106" ht="23.25" customHeight="1" x14ac:dyDescent="0.15">
      <c r="E195" s="1"/>
      <c r="F195" s="1"/>
      <c r="G195" s="1"/>
      <c r="H195" s="1"/>
      <c r="I195" s="1"/>
      <c r="J195" s="1" t="str">
        <f>I190&amp;".2"</f>
        <v>1.8.1.1.2</v>
      </c>
      <c r="L195" t="s">
        <v>524</v>
      </c>
      <c r="P195" s="1"/>
      <c r="Q195" s="1" t="s">
        <v>106</v>
      </c>
      <c r="S195" t="str">
        <f>$J195</f>
        <v>1.8.1.1.2</v>
      </c>
      <c r="T195" t="s">
        <v>525</v>
      </c>
      <c r="V195" s="1"/>
      <c r="W195" s="1"/>
      <c r="X195" s="1"/>
      <c r="Y195" s="1"/>
      <c r="Z195" s="1"/>
      <c r="AA195" s="1"/>
      <c r="AB195" s="1"/>
      <c r="AC195" s="1" t="s">
        <v>637</v>
      </c>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t="s">
        <v>600</v>
      </c>
      <c r="CY195" t="str">
        <f t="shared" si="3"/>
        <v>Группа потребителей</v>
      </c>
      <c r="DB195">
        <v>0</v>
      </c>
    </row>
    <row r="196" spans="2:106" ht="23.25" customHeight="1" x14ac:dyDescent="0.15">
      <c r="E196" s="1"/>
      <c r="F196" s="1"/>
      <c r="G196" s="1"/>
      <c r="H196" s="1"/>
      <c r="I196" s="1"/>
      <c r="J196" s="1" t="str">
        <f>I190&amp;".1"</f>
        <v>1.8.1.1.1</v>
      </c>
      <c r="K196" s="1" t="str">
        <f>J195&amp;".1"</f>
        <v>1.8.1.1.2.1</v>
      </c>
      <c r="P196" s="1"/>
      <c r="Q196" s="1"/>
      <c r="R196">
        <v>1</v>
      </c>
      <c r="S196" t="str">
        <f>$K196</f>
        <v>1.8.1.1.2.1</v>
      </c>
      <c r="Y196" s="1"/>
      <c r="Z196" s="1" t="s">
        <v>63</v>
      </c>
      <c r="AA196" s="1"/>
      <c r="AB196" s="1" t="s">
        <v>63</v>
      </c>
      <c r="AC196">
        <v>30.7</v>
      </c>
      <c r="AF196" s="1">
        <v>45292.725775462961</v>
      </c>
      <c r="AG196" s="1" t="s">
        <v>63</v>
      </c>
      <c r="AH196" s="1">
        <v>45473.725995370369</v>
      </c>
      <c r="AI196" s="1" t="s">
        <v>63</v>
      </c>
      <c r="AJ196">
        <v>39.909999999999997</v>
      </c>
      <c r="AM196" s="1">
        <v>45474.72625</v>
      </c>
      <c r="AN196" s="1" t="s">
        <v>63</v>
      </c>
      <c r="AO196" s="1">
        <v>45657.726365740738</v>
      </c>
      <c r="AP196" s="1" t="s">
        <v>63</v>
      </c>
      <c r="AQ196">
        <v>39.909999999999997</v>
      </c>
      <c r="AT196" s="1">
        <v>45658.7265625</v>
      </c>
      <c r="AU196" s="1" t="s">
        <v>63</v>
      </c>
      <c r="AV196" s="1">
        <v>45838.726770833331</v>
      </c>
      <c r="AW196" s="1" t="s">
        <v>63</v>
      </c>
      <c r="AX196">
        <v>49.49</v>
      </c>
      <c r="BA196" s="1">
        <v>45839.727002314816</v>
      </c>
      <c r="BB196" s="1" t="s">
        <v>63</v>
      </c>
      <c r="BC196" s="1">
        <v>46022.72724537037</v>
      </c>
      <c r="BD196" s="1" t="s">
        <v>63</v>
      </c>
      <c r="BE196">
        <v>49.49</v>
      </c>
      <c r="BH196" s="1">
        <v>46023.727395833332</v>
      </c>
      <c r="BI196" s="1" t="s">
        <v>63</v>
      </c>
      <c r="BJ196" s="1">
        <v>46203.727592592593</v>
      </c>
      <c r="BK196" s="1" t="s">
        <v>63</v>
      </c>
      <c r="BL196">
        <v>50.98</v>
      </c>
      <c r="BO196" s="1">
        <v>46204.727893518517</v>
      </c>
      <c r="BP196" s="1" t="s">
        <v>63</v>
      </c>
      <c r="BQ196" s="1">
        <v>46387.728090277778</v>
      </c>
      <c r="BR196" s="1" t="s">
        <v>63</v>
      </c>
      <c r="BS196">
        <v>50.98</v>
      </c>
      <c r="BV196" s="1">
        <v>46388.728483796294</v>
      </c>
      <c r="BW196" s="1" t="s">
        <v>63</v>
      </c>
      <c r="BX196" s="1">
        <v>46568.728726851848</v>
      </c>
      <c r="BY196" s="1" t="s">
        <v>63</v>
      </c>
      <c r="BZ196">
        <v>51.49</v>
      </c>
      <c r="CC196" s="1">
        <v>46569.729143518518</v>
      </c>
      <c r="CD196" s="1" t="s">
        <v>63</v>
      </c>
      <c r="CE196" s="1">
        <v>46752.729467592595</v>
      </c>
      <c r="CF196" s="1" t="s">
        <v>63</v>
      </c>
      <c r="CG196">
        <v>51.49</v>
      </c>
      <c r="CJ196" s="1">
        <v>46753.729849537034</v>
      </c>
      <c r="CK196" s="1" t="s">
        <v>63</v>
      </c>
      <c r="CL196" s="1">
        <v>46934.730104166665</v>
      </c>
      <c r="CM196" s="1" t="s">
        <v>63</v>
      </c>
      <c r="CN196">
        <v>51.86</v>
      </c>
      <c r="CQ196" s="1">
        <v>46935.730451388888</v>
      </c>
      <c r="CR196" s="1" t="s">
        <v>63</v>
      </c>
      <c r="CS196" s="1">
        <v>47118.730671296296</v>
      </c>
      <c r="CT196" s="1" t="s">
        <v>63</v>
      </c>
      <c r="CV19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96" t="e">
        <f ca="1">STRCHECKDATE(V197:CU197)</f>
        <v>#NAME?</v>
      </c>
      <c r="CY196" t="str">
        <f t="shared" si="3"/>
        <v/>
      </c>
      <c r="DB196">
        <v>0</v>
      </c>
    </row>
    <row r="197" spans="2:106" ht="14.25" customHeight="1" x14ac:dyDescent="0.15">
      <c r="E197" s="1"/>
      <c r="F197" s="1"/>
      <c r="G197" s="1"/>
      <c r="H197" s="1"/>
      <c r="I197" s="1"/>
      <c r="J197" s="1" t="str">
        <f>I190&amp;".1"</f>
        <v>1.8.1.1.1</v>
      </c>
      <c r="K197" s="1"/>
      <c r="P197" s="1"/>
      <c r="Q197" s="1"/>
      <c r="X197" t="str">
        <f>Y196&amp;"-"&amp;AA196</f>
        <v>-</v>
      </c>
      <c r="Y197" s="1"/>
      <c r="Z197" s="1"/>
      <c r="AA197" s="1"/>
      <c r="AB197" s="1"/>
      <c r="AE197" t="str">
        <f>AF196&amp;"-"&amp;AH196</f>
        <v>45292,725775463-45473,7259953704</v>
      </c>
      <c r="AF197" s="1"/>
      <c r="AG197" s="1"/>
      <c r="AH197" s="1"/>
      <c r="AI197" s="1"/>
      <c r="AL197" t="str">
        <f>AM196&amp;"-"&amp;AO196</f>
        <v>45474,72625-45657,7263657407</v>
      </c>
      <c r="AM197" s="1"/>
      <c r="AN197" s="1"/>
      <c r="AO197" s="1"/>
      <c r="AP197" s="1"/>
      <c r="AS197" t="str">
        <f>AT196&amp;"-"&amp;AV196</f>
        <v>45658,7265625-45838,7267708333</v>
      </c>
      <c r="AT197" s="1"/>
      <c r="AU197" s="1"/>
      <c r="AV197" s="1"/>
      <c r="AW197" s="1"/>
      <c r="AZ197" t="str">
        <f>BA196&amp;"-"&amp;BC196</f>
        <v>45839,7270023148-46022,7272453704</v>
      </c>
      <c r="BA197" s="1"/>
      <c r="BB197" s="1"/>
      <c r="BC197" s="1"/>
      <c r="BD197" s="1"/>
      <c r="BG197" t="str">
        <f>BH196&amp;"-"&amp;BJ196</f>
        <v>46023,7273958333-46203,7275925925</v>
      </c>
      <c r="BH197" s="1"/>
      <c r="BI197" s="1"/>
      <c r="BJ197" s="1"/>
      <c r="BK197" s="1"/>
      <c r="BN197" t="str">
        <f>BO196&amp;"-"&amp;BQ196</f>
        <v>46204,7278935185-46387,7280902778</v>
      </c>
      <c r="BO197" s="1"/>
      <c r="BP197" s="1"/>
      <c r="BQ197" s="1"/>
      <c r="BR197" s="1"/>
      <c r="BU197" t="str">
        <f>BV196&amp;"-"&amp;BX196</f>
        <v>46388,7284837963-46568,7287268518</v>
      </c>
      <c r="BV197" s="1"/>
      <c r="BW197" s="1"/>
      <c r="BX197" s="1"/>
      <c r="BY197" s="1"/>
      <c r="CB197" t="str">
        <f>CC196&amp;"-"&amp;CE196</f>
        <v>46569,7291435185-46752,7294675926</v>
      </c>
      <c r="CC197" s="1"/>
      <c r="CD197" s="1"/>
      <c r="CE197" s="1"/>
      <c r="CF197" s="1"/>
      <c r="CI197" t="str">
        <f>CJ196&amp;"-"&amp;CL196</f>
        <v>46753,729849537-46934,7301041667</v>
      </c>
      <c r="CJ197" s="1"/>
      <c r="CK197" s="1"/>
      <c r="CL197" s="1"/>
      <c r="CM197" s="1"/>
      <c r="CP197" t="str">
        <f>CQ196&amp;"-"&amp;CS196</f>
        <v>46935,7304513889-47118,7306712963</v>
      </c>
      <c r="CQ197" s="1"/>
      <c r="CR197" s="1"/>
      <c r="CS197" s="1"/>
      <c r="CT197" s="1"/>
      <c r="CV197" s="1"/>
      <c r="CY197" t="str">
        <f t="shared" si="3"/>
        <v/>
      </c>
      <c r="DB197">
        <v>0</v>
      </c>
    </row>
    <row r="198" spans="2:106" ht="21" customHeight="1" x14ac:dyDescent="0.15">
      <c r="E198" s="1"/>
      <c r="F198" s="1"/>
      <c r="G198" s="1"/>
      <c r="H198" s="1"/>
      <c r="I198" s="1"/>
      <c r="J198" s="1" t="str">
        <f>I190&amp;".1"</f>
        <v>1.8.1.1.1</v>
      </c>
      <c r="P198" s="1"/>
      <c r="Q198" s="1"/>
      <c r="T198" t="s">
        <v>601</v>
      </c>
      <c r="CV198" t="s">
        <v>602</v>
      </c>
      <c r="CY198" t="str">
        <f t="shared" si="3"/>
        <v>Добавить значение признака дифференциации</v>
      </c>
      <c r="DB198">
        <v>0</v>
      </c>
    </row>
    <row r="199" spans="2:106" ht="21" customHeight="1" x14ac:dyDescent="0.15">
      <c r="E199" s="1"/>
      <c r="F199" s="1" t="s">
        <v>95</v>
      </c>
      <c r="G199" s="1"/>
      <c r="H199" s="1"/>
      <c r="I199" s="1"/>
      <c r="P199" s="1"/>
      <c r="T199" t="s">
        <v>530</v>
      </c>
      <c r="CY199" t="str">
        <f t="shared" si="3"/>
        <v>Добавить группу потребителей</v>
      </c>
      <c r="DB199">
        <v>0</v>
      </c>
    </row>
    <row r="200" spans="2:106" ht="21" customHeight="1" x14ac:dyDescent="0.15">
      <c r="E200" s="1"/>
      <c r="F200" s="1" t="s">
        <v>95</v>
      </c>
      <c r="G200" s="1"/>
      <c r="H200" s="1"/>
      <c r="T200" t="s">
        <v>603</v>
      </c>
      <c r="CY200" t="str">
        <f t="shared" si="3"/>
        <v>Добавить наименование признака дифференциации</v>
      </c>
      <c r="DB200">
        <v>0</v>
      </c>
    </row>
    <row r="201" spans="2:106" ht="14.25" customHeight="1" x14ac:dyDescent="0.15">
      <c r="E201" s="1"/>
      <c r="F201" s="1" t="s">
        <v>95</v>
      </c>
      <c r="T201" t="s">
        <v>321</v>
      </c>
      <c r="CY201" t="str">
        <f t="shared" si="3"/>
        <v>Добавить централизованную систему для дифференциации</v>
      </c>
      <c r="DB201">
        <v>0</v>
      </c>
    </row>
    <row r="202" spans="2:106" ht="23.25" customHeight="1" x14ac:dyDescent="0.15">
      <c r="B202" t="s">
        <v>363</v>
      </c>
      <c r="E202" s="1"/>
      <c r="F202" s="1" t="s">
        <v>139</v>
      </c>
      <c r="S202" t="str">
        <f>INDEX(PT_DIFFERENTIATION_NUM_TER,MATCH(B202,PT_DIFFERENTIATION_TER_ID,0))</f>
        <v>1.9</v>
      </c>
      <c r="T202" t="s">
        <v>515</v>
      </c>
      <c r="V202" s="1"/>
      <c r="W202" s="1"/>
      <c r="X202" s="1"/>
      <c r="Y202" s="1"/>
      <c r="Z202" s="1"/>
      <c r="AA202" s="1"/>
      <c r="AB202" s="1"/>
      <c r="AC202" s="1" t="str">
        <f>INDEX(PT_DIFFERENTIATION_TER,MATCH(B202,PT_DIFFERENTIATION_TER_ID,0))</f>
        <v>Территория 9</v>
      </c>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t="s">
        <v>516</v>
      </c>
      <c r="CY202" t="str">
        <f t="shared" si="3"/>
        <v>Территория действия тарифа</v>
      </c>
      <c r="DB202">
        <v>0</v>
      </c>
    </row>
    <row r="203" spans="2:106" ht="23.25" customHeight="1" x14ac:dyDescent="0.15">
      <c r="C203" t="s">
        <v>364</v>
      </c>
      <c r="E203" s="1"/>
      <c r="F203" s="1" t="s">
        <v>134</v>
      </c>
      <c r="G203" s="1">
        <v>1</v>
      </c>
      <c r="S203" t="str">
        <f>INDEX(PT_DIFFERENTIATION_NUM_CS,MATCH(C203,PT_DIFFERENTIATION_CS_ID,0))</f>
        <v>1.9.1</v>
      </c>
      <c r="T203" t="s">
        <v>631</v>
      </c>
      <c r="V203" s="1"/>
      <c r="W203" s="1"/>
      <c r="X203" s="1"/>
      <c r="Y203" s="1"/>
      <c r="Z203" s="1"/>
      <c r="AA203" s="1"/>
      <c r="AB203" s="1"/>
      <c r="AC203" s="1" t="str">
        <f>INDEX(PT_DIFFERENTIATION_CS,MATCH(C203,PT_DIFFERENTIATION_CS_ID,0))</f>
        <v>с. Романовка</v>
      </c>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t="s">
        <v>632</v>
      </c>
      <c r="CY203" t="str">
        <f t="shared" si="3"/>
        <v>Наименование централизованной системы водоотведения</v>
      </c>
      <c r="DB203">
        <v>0</v>
      </c>
    </row>
    <row r="204" spans="2:106" ht="23.25" customHeight="1" x14ac:dyDescent="0.15">
      <c r="E204" s="1"/>
      <c r="F204" s="1" t="s">
        <v>134</v>
      </c>
      <c r="G204" s="1"/>
      <c r="H204" s="1"/>
      <c r="I204" s="1" t="str">
        <f>S203&amp;".1"</f>
        <v>1.9.1.1</v>
      </c>
      <c r="P204" s="1">
        <v>1</v>
      </c>
      <c r="S204" t="str">
        <f>$I204</f>
        <v>1.9.1.1</v>
      </c>
      <c r="T204" t="s">
        <v>598</v>
      </c>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t="s">
        <v>599</v>
      </c>
      <c r="CY204" t="str">
        <f t="shared" si="3"/>
        <v>Наименование признака дифференциации</v>
      </c>
      <c r="DB204">
        <v>0</v>
      </c>
    </row>
    <row r="205" spans="2:106" ht="23.25" customHeight="1" x14ac:dyDescent="0.15">
      <c r="E205" s="1"/>
      <c r="F205" s="1" t="s">
        <v>134</v>
      </c>
      <c r="G205" s="1"/>
      <c r="H205" s="1"/>
      <c r="I205" s="1"/>
      <c r="J205" s="1" t="str">
        <f>I204&amp;".1"</f>
        <v>1.9.1.1.1</v>
      </c>
      <c r="L205" t="s">
        <v>524</v>
      </c>
      <c r="P205" s="1"/>
      <c r="Q205" s="1">
        <v>1</v>
      </c>
      <c r="S205" t="str">
        <f>$J205</f>
        <v>1.9.1.1.1</v>
      </c>
      <c r="T205" t="s">
        <v>525</v>
      </c>
      <c r="V205" s="1"/>
      <c r="W205" s="1"/>
      <c r="X205" s="1"/>
      <c r="Y205" s="1"/>
      <c r="Z205" s="1"/>
      <c r="AA205" s="1"/>
      <c r="AB205" s="1"/>
      <c r="AC205" s="1" t="s">
        <v>636</v>
      </c>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t="s">
        <v>600</v>
      </c>
      <c r="CY205" t="str">
        <f t="shared" si="3"/>
        <v>Группа потребителей</v>
      </c>
      <c r="DB205">
        <v>0</v>
      </c>
    </row>
    <row r="206" spans="2:106" ht="23.25" customHeight="1" x14ac:dyDescent="0.15">
      <c r="E206" s="1"/>
      <c r="F206" s="1" t="s">
        <v>134</v>
      </c>
      <c r="G206" s="1"/>
      <c r="H206" s="1"/>
      <c r="I206" s="1"/>
      <c r="J206" s="1"/>
      <c r="K206" s="1" t="str">
        <f>J205&amp;".1"</f>
        <v>1.9.1.1.1.1</v>
      </c>
      <c r="P206" s="1"/>
      <c r="Q206" s="1"/>
      <c r="R206">
        <v>1</v>
      </c>
      <c r="S206" t="str">
        <f>$K206</f>
        <v>1.9.1.1.1.1</v>
      </c>
      <c r="Y206" s="1"/>
      <c r="Z206" s="1" t="s">
        <v>63</v>
      </c>
      <c r="AA206" s="1"/>
      <c r="AB206" s="1" t="s">
        <v>63</v>
      </c>
      <c r="AC206">
        <v>28.13</v>
      </c>
      <c r="AF206" s="1">
        <v>45292.734375</v>
      </c>
      <c r="AG206" s="1" t="s">
        <v>63</v>
      </c>
      <c r="AH206" s="1">
        <v>45473.734571759262</v>
      </c>
      <c r="AI206" s="1" t="s">
        <v>63</v>
      </c>
      <c r="AJ206">
        <v>36.56</v>
      </c>
      <c r="AM206" s="1">
        <v>45474.734722222223</v>
      </c>
      <c r="AN206" s="1" t="s">
        <v>63</v>
      </c>
      <c r="AO206" s="1">
        <v>45657.734872685185</v>
      </c>
      <c r="AP206" s="1" t="s">
        <v>63</v>
      </c>
      <c r="AQ206">
        <v>36.56</v>
      </c>
      <c r="AT206" s="1">
        <v>45658.735023148147</v>
      </c>
      <c r="AU206" s="1" t="s">
        <v>63</v>
      </c>
      <c r="AV206" s="1">
        <v>45838.735127314816</v>
      </c>
      <c r="AW206" s="1" t="s">
        <v>63</v>
      </c>
      <c r="AX206">
        <v>46.6</v>
      </c>
      <c r="BA206" s="1">
        <v>45839.735335648147</v>
      </c>
      <c r="BB206" s="1" t="s">
        <v>63</v>
      </c>
      <c r="BC206" s="1">
        <v>46022.735520833332</v>
      </c>
      <c r="BD206" s="1" t="s">
        <v>63</v>
      </c>
      <c r="BE206">
        <v>46.6</v>
      </c>
      <c r="BH206" s="1">
        <v>46023.736018518517</v>
      </c>
      <c r="BI206" s="1" t="s">
        <v>63</v>
      </c>
      <c r="BJ206" s="1">
        <v>46203.736203703702</v>
      </c>
      <c r="BK206" s="1" t="s">
        <v>63</v>
      </c>
      <c r="BL206">
        <v>47.06</v>
      </c>
      <c r="BO206" s="1">
        <v>46204.736504629633</v>
      </c>
      <c r="BP206" s="1" t="s">
        <v>63</v>
      </c>
      <c r="BQ206" s="1">
        <v>46387.73673611111</v>
      </c>
      <c r="BR206" s="1" t="s">
        <v>63</v>
      </c>
      <c r="BS206">
        <v>47.06</v>
      </c>
      <c r="BV206" s="1">
        <v>46388.737175925926</v>
      </c>
      <c r="BW206" s="1" t="s">
        <v>63</v>
      </c>
      <c r="BX206" s="1">
        <v>46568.737303240741</v>
      </c>
      <c r="BY206" s="1" t="s">
        <v>63</v>
      </c>
      <c r="BZ206">
        <v>47.53</v>
      </c>
      <c r="CC206" s="1">
        <v>46569.737685185188</v>
      </c>
      <c r="CD206" s="1" t="s">
        <v>63</v>
      </c>
      <c r="CE206" s="1">
        <v>46752.738055555557</v>
      </c>
      <c r="CF206" s="1" t="s">
        <v>63</v>
      </c>
      <c r="CG206">
        <v>46.96</v>
      </c>
      <c r="CJ206" s="1">
        <v>46753.738344907404</v>
      </c>
      <c r="CK206" s="1" t="s">
        <v>63</v>
      </c>
      <c r="CL206" s="1">
        <v>46934.738761574074</v>
      </c>
      <c r="CM206" s="1" t="s">
        <v>63</v>
      </c>
      <c r="CN206">
        <v>46.96</v>
      </c>
      <c r="CQ206" s="1">
        <v>46935.739120370374</v>
      </c>
      <c r="CR206" s="1" t="s">
        <v>63</v>
      </c>
      <c r="CS206" s="1">
        <v>47118.739328703705</v>
      </c>
      <c r="CT206" s="1" t="s">
        <v>63</v>
      </c>
      <c r="CV20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06" t="e">
        <f ca="1">STRCHECKDATE(V207:CU207)</f>
        <v>#NAME?</v>
      </c>
      <c r="CY206" t="str">
        <f t="shared" si="3"/>
        <v/>
      </c>
      <c r="DB206">
        <v>0</v>
      </c>
    </row>
    <row r="207" spans="2:106" ht="14.25" customHeight="1" x14ac:dyDescent="0.15">
      <c r="E207" s="1"/>
      <c r="F207" s="1" t="s">
        <v>134</v>
      </c>
      <c r="G207" s="1"/>
      <c r="H207" s="1"/>
      <c r="I207" s="1"/>
      <c r="J207" s="1"/>
      <c r="K207" s="1"/>
      <c r="P207" s="1"/>
      <c r="Q207" s="1"/>
      <c r="X207" t="str">
        <f>Y206&amp;"-"&amp;AA206</f>
        <v>-</v>
      </c>
      <c r="Y207" s="1"/>
      <c r="Z207" s="1"/>
      <c r="AA207" s="1"/>
      <c r="AB207" s="1"/>
      <c r="AE207" t="str">
        <f>AF206&amp;"-"&amp;AH206</f>
        <v>45292,734375-45473,7345717593</v>
      </c>
      <c r="AF207" s="1"/>
      <c r="AG207" s="1"/>
      <c r="AH207" s="1"/>
      <c r="AI207" s="1"/>
      <c r="AL207" t="str">
        <f>AM206&amp;"-"&amp;AO206</f>
        <v>45474,7347222222-45657,7348726852</v>
      </c>
      <c r="AM207" s="1"/>
      <c r="AN207" s="1"/>
      <c r="AO207" s="1"/>
      <c r="AP207" s="1"/>
      <c r="AS207" t="str">
        <f>AT206&amp;"-"&amp;AV206</f>
        <v>45658,7350231481-45838,7351273148</v>
      </c>
      <c r="AT207" s="1"/>
      <c r="AU207" s="1"/>
      <c r="AV207" s="1"/>
      <c r="AW207" s="1"/>
      <c r="AZ207" t="str">
        <f>BA206&amp;"-"&amp;BC206</f>
        <v>45839,7353356481-46022,7355208333</v>
      </c>
      <c r="BA207" s="1"/>
      <c r="BB207" s="1"/>
      <c r="BC207" s="1"/>
      <c r="BD207" s="1"/>
      <c r="BG207" t="str">
        <f>BH206&amp;"-"&amp;BJ206</f>
        <v>46023,7360185185-46203,7362037037</v>
      </c>
      <c r="BH207" s="1"/>
      <c r="BI207" s="1"/>
      <c r="BJ207" s="1"/>
      <c r="BK207" s="1"/>
      <c r="BN207" t="str">
        <f>BO206&amp;"-"&amp;BQ206</f>
        <v>46204,7365046296-46387,7367361111</v>
      </c>
      <c r="BO207" s="1"/>
      <c r="BP207" s="1"/>
      <c r="BQ207" s="1"/>
      <c r="BR207" s="1"/>
      <c r="BU207" t="str">
        <f>BV206&amp;"-"&amp;BX206</f>
        <v>46388,7371759259-46568,7373032407</v>
      </c>
      <c r="BV207" s="1"/>
      <c r="BW207" s="1"/>
      <c r="BX207" s="1"/>
      <c r="BY207" s="1"/>
      <c r="CB207" t="str">
        <f>CC206&amp;"-"&amp;CE206</f>
        <v>46569,7376851852-46752,7380555556</v>
      </c>
      <c r="CC207" s="1"/>
      <c r="CD207" s="1"/>
      <c r="CE207" s="1"/>
      <c r="CF207" s="1"/>
      <c r="CI207" t="str">
        <f>CJ206&amp;"-"&amp;CL206</f>
        <v>46753,7383449074-46934,7387615741</v>
      </c>
      <c r="CJ207" s="1"/>
      <c r="CK207" s="1"/>
      <c r="CL207" s="1"/>
      <c r="CM207" s="1"/>
      <c r="CP207" t="str">
        <f>CQ206&amp;"-"&amp;CS206</f>
        <v>46935,7391203704-47118,7393287037</v>
      </c>
      <c r="CQ207" s="1"/>
      <c r="CR207" s="1"/>
      <c r="CS207" s="1"/>
      <c r="CT207" s="1"/>
      <c r="CV207" s="1"/>
      <c r="CY207" t="str">
        <f t="shared" si="3"/>
        <v/>
      </c>
      <c r="DB207">
        <v>0</v>
      </c>
    </row>
    <row r="208" spans="2:106" ht="21" customHeight="1" x14ac:dyDescent="0.15">
      <c r="E208" s="1"/>
      <c r="F208" s="1" t="s">
        <v>134</v>
      </c>
      <c r="G208" s="1"/>
      <c r="H208" s="1"/>
      <c r="I208" s="1"/>
      <c r="J208" s="1"/>
      <c r="P208" s="1"/>
      <c r="Q208" s="1"/>
      <c r="T208" t="s">
        <v>601</v>
      </c>
      <c r="CV208" t="s">
        <v>602</v>
      </c>
      <c r="CY208" t="str">
        <f t="shared" si="3"/>
        <v>Добавить значение признака дифференциации</v>
      </c>
      <c r="DB208">
        <v>0</v>
      </c>
    </row>
    <row r="209" spans="2:106" ht="23.25" customHeight="1" x14ac:dyDescent="0.15">
      <c r="E209" s="1"/>
      <c r="F209" s="1"/>
      <c r="G209" s="1"/>
      <c r="H209" s="1"/>
      <c r="I209" s="1"/>
      <c r="J209" s="1" t="str">
        <f>I204&amp;".2"</f>
        <v>1.9.1.1.2</v>
      </c>
      <c r="L209" t="s">
        <v>524</v>
      </c>
      <c r="P209" s="1"/>
      <c r="Q209" s="1" t="s">
        <v>106</v>
      </c>
      <c r="S209" t="str">
        <f>$J209</f>
        <v>1.9.1.1.2</v>
      </c>
      <c r="T209" t="s">
        <v>525</v>
      </c>
      <c r="V209" s="1"/>
      <c r="W209" s="1"/>
      <c r="X209" s="1"/>
      <c r="Y209" s="1"/>
      <c r="Z209" s="1"/>
      <c r="AA209" s="1"/>
      <c r="AB209" s="1"/>
      <c r="AC209" s="1" t="s">
        <v>637</v>
      </c>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t="s">
        <v>600</v>
      </c>
      <c r="CY209" t="str">
        <f t="shared" si="3"/>
        <v>Группа потребителей</v>
      </c>
      <c r="DB209">
        <v>0</v>
      </c>
    </row>
    <row r="210" spans="2:106" ht="23.25" customHeight="1" x14ac:dyDescent="0.15">
      <c r="E210" s="1"/>
      <c r="F210" s="1"/>
      <c r="G210" s="1"/>
      <c r="H210" s="1"/>
      <c r="I210" s="1"/>
      <c r="J210" s="1" t="str">
        <f>I204&amp;".1"</f>
        <v>1.9.1.1.1</v>
      </c>
      <c r="K210" s="1" t="str">
        <f>J209&amp;".1"</f>
        <v>1.9.1.1.2.1</v>
      </c>
      <c r="P210" s="1"/>
      <c r="Q210" s="1"/>
      <c r="R210">
        <v>1</v>
      </c>
      <c r="S210" t="str">
        <f>$K210</f>
        <v>1.9.1.1.2.1</v>
      </c>
      <c r="Y210" s="1"/>
      <c r="Z210" s="1" t="s">
        <v>63</v>
      </c>
      <c r="AA210" s="1"/>
      <c r="AB210" s="1" t="s">
        <v>63</v>
      </c>
      <c r="AC210">
        <v>23.44</v>
      </c>
      <c r="AF210" s="1">
        <v>45292.734502314815</v>
      </c>
      <c r="AG210" s="1" t="s">
        <v>63</v>
      </c>
      <c r="AH210" s="1">
        <v>45473.7346412037</v>
      </c>
      <c r="AI210" s="1" t="s">
        <v>63</v>
      </c>
      <c r="AJ210">
        <v>30.47</v>
      </c>
      <c r="AM210" s="1">
        <v>45474.734803240739</v>
      </c>
      <c r="AN210" s="1" t="s">
        <v>63</v>
      </c>
      <c r="AO210" s="1">
        <v>45657.734918981485</v>
      </c>
      <c r="AP210" s="1" t="s">
        <v>63</v>
      </c>
      <c r="AQ210">
        <v>30.47</v>
      </c>
      <c r="AT210" s="1">
        <v>45658.735092592593</v>
      </c>
      <c r="AU210" s="1" t="s">
        <v>63</v>
      </c>
      <c r="AV210" s="1">
        <v>45838.735208333332</v>
      </c>
      <c r="AW210" s="1" t="s">
        <v>63</v>
      </c>
      <c r="AX210">
        <v>38.83</v>
      </c>
      <c r="BA210" s="1">
        <v>45839.735451388886</v>
      </c>
      <c r="BB210" s="1" t="s">
        <v>63</v>
      </c>
      <c r="BC210" s="1">
        <v>46022.735601851855</v>
      </c>
      <c r="BD210" s="1" t="s">
        <v>63</v>
      </c>
      <c r="BE210">
        <v>38.83</v>
      </c>
      <c r="BH210" s="1">
        <v>46023.736134259256</v>
      </c>
      <c r="BI210" s="1" t="s">
        <v>63</v>
      </c>
      <c r="BJ210" s="1">
        <v>46203.736319444448</v>
      </c>
      <c r="BK210" s="1" t="s">
        <v>63</v>
      </c>
      <c r="BL210">
        <v>39.22</v>
      </c>
      <c r="BO210" s="1">
        <v>46204.736620370371</v>
      </c>
      <c r="BP210" s="1" t="s">
        <v>63</v>
      </c>
      <c r="BQ210" s="1">
        <v>46387.737037037034</v>
      </c>
      <c r="BR210" s="1" t="s">
        <v>63</v>
      </c>
      <c r="BS210">
        <v>39.22</v>
      </c>
      <c r="BV210" s="1">
        <v>46388.737245370372</v>
      </c>
      <c r="BW210" s="1" t="s">
        <v>63</v>
      </c>
      <c r="BX210" s="1">
        <v>46568.737488425926</v>
      </c>
      <c r="BY210" s="1" t="s">
        <v>63</v>
      </c>
      <c r="BZ210">
        <v>39.61</v>
      </c>
      <c r="CC210" s="1">
        <v>46569.737939814811</v>
      </c>
      <c r="CD210" s="1" t="s">
        <v>63</v>
      </c>
      <c r="CE210" s="1">
        <v>46752.738125000003</v>
      </c>
      <c r="CF210" s="1" t="s">
        <v>63</v>
      </c>
      <c r="CG210">
        <v>39.130000000000003</v>
      </c>
      <c r="CJ210" s="1">
        <v>46753.738692129627</v>
      </c>
      <c r="CK210" s="1" t="s">
        <v>63</v>
      </c>
      <c r="CL210" s="1">
        <v>46934.738900462966</v>
      </c>
      <c r="CM210" s="1" t="s">
        <v>63</v>
      </c>
      <c r="CN210">
        <v>39.130000000000003</v>
      </c>
      <c r="CQ210" s="1">
        <v>46935.739224537036</v>
      </c>
      <c r="CR210" s="1" t="s">
        <v>63</v>
      </c>
      <c r="CS210" s="1">
        <v>47118.739398148151</v>
      </c>
      <c r="CT210" s="1" t="s">
        <v>63</v>
      </c>
      <c r="CV21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10" t="e">
        <f ca="1">STRCHECKDATE(V211:CU211)</f>
        <v>#NAME?</v>
      </c>
      <c r="CY210" t="str">
        <f t="shared" si="3"/>
        <v/>
      </c>
      <c r="DB210">
        <v>0</v>
      </c>
    </row>
    <row r="211" spans="2:106" ht="14.25" customHeight="1" x14ac:dyDescent="0.15">
      <c r="E211" s="1"/>
      <c r="F211" s="1"/>
      <c r="G211" s="1"/>
      <c r="H211" s="1"/>
      <c r="I211" s="1"/>
      <c r="J211" s="1" t="str">
        <f>I204&amp;".1"</f>
        <v>1.9.1.1.1</v>
      </c>
      <c r="K211" s="1"/>
      <c r="P211" s="1"/>
      <c r="Q211" s="1"/>
      <c r="X211" t="str">
        <f>Y210&amp;"-"&amp;AA210</f>
        <v>-</v>
      </c>
      <c r="Y211" s="1"/>
      <c r="Z211" s="1"/>
      <c r="AA211" s="1"/>
      <c r="AB211" s="1"/>
      <c r="AE211" t="str">
        <f>AF210&amp;"-"&amp;AH210</f>
        <v>45292,7345023148-45473,7346412037</v>
      </c>
      <c r="AF211" s="1"/>
      <c r="AG211" s="1"/>
      <c r="AH211" s="1"/>
      <c r="AI211" s="1"/>
      <c r="AL211" t="str">
        <f>AM210&amp;"-"&amp;AO210</f>
        <v>45474,7348032407-45657,7349189815</v>
      </c>
      <c r="AM211" s="1"/>
      <c r="AN211" s="1"/>
      <c r="AO211" s="1"/>
      <c r="AP211" s="1"/>
      <c r="AS211" t="str">
        <f>AT210&amp;"-"&amp;AV210</f>
        <v>45658,7350925926-45838,7352083333</v>
      </c>
      <c r="AT211" s="1"/>
      <c r="AU211" s="1"/>
      <c r="AV211" s="1"/>
      <c r="AW211" s="1"/>
      <c r="AZ211" t="str">
        <f>BA210&amp;"-"&amp;BC210</f>
        <v>45839,7354513889-46022,7356018519</v>
      </c>
      <c r="BA211" s="1"/>
      <c r="BB211" s="1"/>
      <c r="BC211" s="1"/>
      <c r="BD211" s="1"/>
      <c r="BG211" t="str">
        <f>BH210&amp;"-"&amp;BJ210</f>
        <v>46023,7361342593-46203,7363194444</v>
      </c>
      <c r="BH211" s="1"/>
      <c r="BI211" s="1"/>
      <c r="BJ211" s="1"/>
      <c r="BK211" s="1"/>
      <c r="BN211" t="str">
        <f>BO210&amp;"-"&amp;BQ210</f>
        <v>46204,7366203704-46387,737037037</v>
      </c>
      <c r="BO211" s="1"/>
      <c r="BP211" s="1"/>
      <c r="BQ211" s="1"/>
      <c r="BR211" s="1"/>
      <c r="BU211" t="str">
        <f>BV210&amp;"-"&amp;BX210</f>
        <v>46388,7372453704-46568,7374884259</v>
      </c>
      <c r="BV211" s="1"/>
      <c r="BW211" s="1"/>
      <c r="BX211" s="1"/>
      <c r="BY211" s="1"/>
      <c r="CB211" t="str">
        <f>CC210&amp;"-"&amp;CE210</f>
        <v>46569,7379398148-46752,738125</v>
      </c>
      <c r="CC211" s="1"/>
      <c r="CD211" s="1"/>
      <c r="CE211" s="1"/>
      <c r="CF211" s="1"/>
      <c r="CI211" t="str">
        <f>CJ210&amp;"-"&amp;CL210</f>
        <v>46753,7386921296-46934,738900463</v>
      </c>
      <c r="CJ211" s="1"/>
      <c r="CK211" s="1"/>
      <c r="CL211" s="1"/>
      <c r="CM211" s="1"/>
      <c r="CP211" t="str">
        <f>CQ210&amp;"-"&amp;CS210</f>
        <v>46935,739224537-47118,7393981482</v>
      </c>
      <c r="CQ211" s="1"/>
      <c r="CR211" s="1"/>
      <c r="CS211" s="1"/>
      <c r="CT211" s="1"/>
      <c r="CV211" s="1"/>
      <c r="CY211" t="str">
        <f t="shared" si="3"/>
        <v/>
      </c>
      <c r="DB211">
        <v>0</v>
      </c>
    </row>
    <row r="212" spans="2:106" ht="21" customHeight="1" x14ac:dyDescent="0.15">
      <c r="E212" s="1"/>
      <c r="F212" s="1"/>
      <c r="G212" s="1"/>
      <c r="H212" s="1"/>
      <c r="I212" s="1"/>
      <c r="J212" s="1" t="str">
        <f>I204&amp;".1"</f>
        <v>1.9.1.1.1</v>
      </c>
      <c r="P212" s="1"/>
      <c r="Q212" s="1"/>
      <c r="T212" t="s">
        <v>601</v>
      </c>
      <c r="CV212" t="s">
        <v>602</v>
      </c>
      <c r="CY212" t="str">
        <f t="shared" si="3"/>
        <v>Добавить значение признака дифференциации</v>
      </c>
      <c r="DB212">
        <v>0</v>
      </c>
    </row>
    <row r="213" spans="2:106" ht="21" customHeight="1" x14ac:dyDescent="0.15">
      <c r="E213" s="1"/>
      <c r="F213" s="1" t="s">
        <v>134</v>
      </c>
      <c r="G213" s="1"/>
      <c r="H213" s="1"/>
      <c r="I213" s="1"/>
      <c r="P213" s="1"/>
      <c r="T213" t="s">
        <v>530</v>
      </c>
      <c r="CY213" t="str">
        <f t="shared" si="3"/>
        <v>Добавить группу потребителей</v>
      </c>
      <c r="DB213">
        <v>0</v>
      </c>
    </row>
    <row r="214" spans="2:106" ht="21" customHeight="1" x14ac:dyDescent="0.15">
      <c r="E214" s="1"/>
      <c r="F214" s="1" t="s">
        <v>134</v>
      </c>
      <c r="G214" s="1"/>
      <c r="H214" s="1"/>
      <c r="T214" t="s">
        <v>603</v>
      </c>
      <c r="CY214" t="str">
        <f t="shared" si="3"/>
        <v>Добавить наименование признака дифференциации</v>
      </c>
      <c r="DB214">
        <v>0</v>
      </c>
    </row>
    <row r="215" spans="2:106" ht="14.25" customHeight="1" x14ac:dyDescent="0.15">
      <c r="E215" s="1"/>
      <c r="F215" s="1" t="s">
        <v>134</v>
      </c>
      <c r="T215" t="s">
        <v>321</v>
      </c>
      <c r="CY215" t="str">
        <f t="shared" si="3"/>
        <v>Добавить централизованную систему для дифференциации</v>
      </c>
      <c r="DB215">
        <v>0</v>
      </c>
    </row>
    <row r="216" spans="2:106" ht="23.25" customHeight="1" x14ac:dyDescent="0.15">
      <c r="B216" t="s">
        <v>367</v>
      </c>
      <c r="E216" s="1"/>
      <c r="F216" s="1" t="s">
        <v>145</v>
      </c>
      <c r="S216" t="str">
        <f>INDEX(PT_DIFFERENTIATION_NUM_TER,MATCH(B216,PT_DIFFERENTIATION_TER_ID,0))</f>
        <v>1.10</v>
      </c>
      <c r="T216" t="s">
        <v>515</v>
      </c>
      <c r="V216" s="1"/>
      <c r="W216" s="1"/>
      <c r="X216" s="1"/>
      <c r="Y216" s="1"/>
      <c r="Z216" s="1"/>
      <c r="AA216" s="1"/>
      <c r="AB216" s="1"/>
      <c r="AC216" s="1" t="str">
        <f>INDEX(PT_DIFFERENTIATION_TER,MATCH(B216,PT_DIFFERENTIATION_TER_ID,0))</f>
        <v>Территория 10</v>
      </c>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t="s">
        <v>516</v>
      </c>
      <c r="CY216" t="str">
        <f t="shared" si="3"/>
        <v>Территория действия тарифа</v>
      </c>
      <c r="DB216">
        <v>0</v>
      </c>
    </row>
    <row r="217" spans="2:106" ht="23.25" customHeight="1" x14ac:dyDescent="0.15">
      <c r="C217" t="s">
        <v>368</v>
      </c>
      <c r="E217" s="1"/>
      <c r="F217" s="1" t="s">
        <v>139</v>
      </c>
      <c r="G217" s="1">
        <v>1</v>
      </c>
      <c r="S217" t="str">
        <f>INDEX(PT_DIFFERENTIATION_NUM_CS,MATCH(C217,PT_DIFFERENTIATION_CS_ID,0))</f>
        <v>1.10.1</v>
      </c>
      <c r="T217" t="s">
        <v>631</v>
      </c>
      <c r="V217" s="1"/>
      <c r="W217" s="1"/>
      <c r="X217" s="1"/>
      <c r="Y217" s="1"/>
      <c r="Z217" s="1"/>
      <c r="AA217" s="1"/>
      <c r="AB217" s="1"/>
      <c r="AC217" s="1" t="str">
        <f>INDEX(PT_DIFFERENTIATION_CS,MATCH(C217,PT_DIFFERENTIATION_CS_ID,0))</f>
        <v>с. Многоудобное</v>
      </c>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t="s">
        <v>632</v>
      </c>
      <c r="CY217" t="str">
        <f t="shared" si="3"/>
        <v>Наименование централизованной системы водоотведения</v>
      </c>
      <c r="DB217">
        <v>0</v>
      </c>
    </row>
    <row r="218" spans="2:106" ht="23.25" customHeight="1" x14ac:dyDescent="0.15">
      <c r="E218" s="1"/>
      <c r="F218" s="1" t="s">
        <v>139</v>
      </c>
      <c r="G218" s="1"/>
      <c r="H218" s="1"/>
      <c r="I218" s="1" t="str">
        <f>S217&amp;".1"</f>
        <v>1.10.1.1</v>
      </c>
      <c r="P218" s="1">
        <v>1</v>
      </c>
      <c r="S218" t="str">
        <f>$I218</f>
        <v>1.10.1.1</v>
      </c>
      <c r="T218" t="s">
        <v>598</v>
      </c>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t="s">
        <v>599</v>
      </c>
      <c r="CY218" t="str">
        <f t="shared" si="3"/>
        <v>Наименование признака дифференциации</v>
      </c>
      <c r="DB218">
        <v>0</v>
      </c>
    </row>
    <row r="219" spans="2:106" ht="23.25" customHeight="1" x14ac:dyDescent="0.15">
      <c r="E219" s="1"/>
      <c r="F219" s="1" t="s">
        <v>139</v>
      </c>
      <c r="G219" s="1"/>
      <c r="H219" s="1"/>
      <c r="I219" s="1"/>
      <c r="J219" s="1" t="str">
        <f>I218&amp;".1"</f>
        <v>1.10.1.1.1</v>
      </c>
      <c r="L219" t="s">
        <v>524</v>
      </c>
      <c r="P219" s="1"/>
      <c r="Q219" s="1">
        <v>1</v>
      </c>
      <c r="S219" t="str">
        <f>$J219</f>
        <v>1.10.1.1.1</v>
      </c>
      <c r="T219" t="s">
        <v>525</v>
      </c>
      <c r="V219" s="1"/>
      <c r="W219" s="1"/>
      <c r="X219" s="1"/>
      <c r="Y219" s="1"/>
      <c r="Z219" s="1"/>
      <c r="AA219" s="1"/>
      <c r="AB219" s="1"/>
      <c r="AC219" s="1" t="s">
        <v>636</v>
      </c>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t="s">
        <v>600</v>
      </c>
      <c r="CY219" t="str">
        <f t="shared" si="3"/>
        <v>Группа потребителей</v>
      </c>
      <c r="DB219">
        <v>0</v>
      </c>
    </row>
    <row r="220" spans="2:106" ht="23.25" customHeight="1" x14ac:dyDescent="0.15">
      <c r="E220" s="1"/>
      <c r="F220" s="1" t="s">
        <v>139</v>
      </c>
      <c r="G220" s="1"/>
      <c r="H220" s="1"/>
      <c r="I220" s="1"/>
      <c r="J220" s="1"/>
      <c r="K220" s="1" t="str">
        <f>J219&amp;".1"</f>
        <v>1.10.1.1.1.1</v>
      </c>
      <c r="P220" s="1"/>
      <c r="Q220" s="1"/>
      <c r="R220">
        <v>1</v>
      </c>
      <c r="S220" t="str">
        <f>$K220</f>
        <v>1.10.1.1.1.1</v>
      </c>
      <c r="Y220" s="1"/>
      <c r="Z220" s="1" t="s">
        <v>63</v>
      </c>
      <c r="AA220" s="1"/>
      <c r="AB220" s="1" t="s">
        <v>63</v>
      </c>
      <c r="AC220">
        <v>24.96</v>
      </c>
      <c r="AF220" s="1">
        <v>45292.744074074071</v>
      </c>
      <c r="AG220" s="1" t="s">
        <v>63</v>
      </c>
      <c r="AH220" s="1">
        <v>45473.74428240741</v>
      </c>
      <c r="AI220" s="1" t="s">
        <v>63</v>
      </c>
      <c r="AJ220">
        <v>32.450000000000003</v>
      </c>
      <c r="AM220" s="1">
        <v>45474.744502314818</v>
      </c>
      <c r="AN220" s="1" t="s">
        <v>63</v>
      </c>
      <c r="AO220" s="1">
        <v>45657.744652777779</v>
      </c>
      <c r="AP220" s="1" t="s">
        <v>63</v>
      </c>
      <c r="AQ220">
        <v>32.450000000000003</v>
      </c>
      <c r="AT220" s="1">
        <v>45658.744791666664</v>
      </c>
      <c r="AU220" s="1" t="s">
        <v>63</v>
      </c>
      <c r="AV220" s="1">
        <v>45838.744895833333</v>
      </c>
      <c r="AW220" s="1" t="s">
        <v>63</v>
      </c>
      <c r="AX220">
        <v>42.04</v>
      </c>
      <c r="BA220" s="1">
        <v>45839.745243055557</v>
      </c>
      <c r="BB220" s="1" t="s">
        <v>63</v>
      </c>
      <c r="BC220" s="1">
        <v>46022.745474537034</v>
      </c>
      <c r="BD220" s="1" t="s">
        <v>63</v>
      </c>
      <c r="BE220">
        <v>34.99</v>
      </c>
      <c r="BH220" s="1">
        <v>46023.745682870373</v>
      </c>
      <c r="BI220" s="1" t="s">
        <v>63</v>
      </c>
      <c r="BJ220" s="1">
        <v>46203.745844907404</v>
      </c>
      <c r="BK220" s="1" t="s">
        <v>63</v>
      </c>
      <c r="BL220">
        <v>34.99</v>
      </c>
      <c r="BO220" s="1">
        <v>46204.746238425927</v>
      </c>
      <c r="BP220" s="1" t="s">
        <v>63</v>
      </c>
      <c r="BQ220" s="1">
        <v>46387.746446759258</v>
      </c>
      <c r="BR220" s="1" t="s">
        <v>63</v>
      </c>
      <c r="BS220">
        <v>34.99</v>
      </c>
      <c r="BV220" s="1">
        <v>46388.746863425928</v>
      </c>
      <c r="BW220" s="1" t="s">
        <v>63</v>
      </c>
      <c r="BX220" s="1">
        <v>46568.747141203705</v>
      </c>
      <c r="BY220" s="1" t="s">
        <v>63</v>
      </c>
      <c r="BZ220">
        <v>36.83</v>
      </c>
      <c r="CC220" s="1">
        <v>46569.747499999998</v>
      </c>
      <c r="CD220" s="1" t="s">
        <v>63</v>
      </c>
      <c r="CE220" s="1">
        <v>46752.74796296296</v>
      </c>
      <c r="CF220" s="1" t="s">
        <v>63</v>
      </c>
      <c r="CG220">
        <v>36.83</v>
      </c>
      <c r="CJ220" s="1">
        <v>46753.748229166667</v>
      </c>
      <c r="CK220" s="1" t="s">
        <v>63</v>
      </c>
      <c r="CL220" s="1">
        <v>46934.748530092591</v>
      </c>
      <c r="CM220" s="1" t="s">
        <v>63</v>
      </c>
      <c r="CN220">
        <v>37.1</v>
      </c>
      <c r="CQ220" s="1">
        <v>46935.748842592591</v>
      </c>
      <c r="CR220" s="1" t="s">
        <v>63</v>
      </c>
      <c r="CS220" s="1">
        <v>47118.749120370368</v>
      </c>
      <c r="CT220" s="1" t="s">
        <v>63</v>
      </c>
      <c r="CV220"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20" t="e">
        <f ca="1">STRCHECKDATE(V221:CU221)</f>
        <v>#NAME?</v>
      </c>
      <c r="CY220" t="str">
        <f t="shared" si="3"/>
        <v/>
      </c>
      <c r="DB220">
        <v>0</v>
      </c>
    </row>
    <row r="221" spans="2:106" ht="14.25" customHeight="1" x14ac:dyDescent="0.15">
      <c r="E221" s="1"/>
      <c r="F221" s="1" t="s">
        <v>139</v>
      </c>
      <c r="G221" s="1"/>
      <c r="H221" s="1"/>
      <c r="I221" s="1"/>
      <c r="J221" s="1"/>
      <c r="K221" s="1"/>
      <c r="P221" s="1"/>
      <c r="Q221" s="1"/>
      <c r="X221" t="str">
        <f>Y220&amp;"-"&amp;AA220</f>
        <v>-</v>
      </c>
      <c r="Y221" s="1"/>
      <c r="Z221" s="1"/>
      <c r="AA221" s="1"/>
      <c r="AB221" s="1"/>
      <c r="AE221" t="str">
        <f>AF220&amp;"-"&amp;AH220</f>
        <v>45292,7440740741-45473,7442824074</v>
      </c>
      <c r="AF221" s="1"/>
      <c r="AG221" s="1"/>
      <c r="AH221" s="1"/>
      <c r="AI221" s="1"/>
      <c r="AL221" t="str">
        <f>AM220&amp;"-"&amp;AO220</f>
        <v>45474,7445023148-45657,7446527778</v>
      </c>
      <c r="AM221" s="1"/>
      <c r="AN221" s="1"/>
      <c r="AO221" s="1"/>
      <c r="AP221" s="1"/>
      <c r="AS221" t="str">
        <f>AT220&amp;"-"&amp;AV220</f>
        <v>45658,7447916667-45838,7448958333</v>
      </c>
      <c r="AT221" s="1"/>
      <c r="AU221" s="1"/>
      <c r="AV221" s="1"/>
      <c r="AW221" s="1"/>
      <c r="AZ221" t="str">
        <f>BA220&amp;"-"&amp;BC220</f>
        <v>45839,7452430556-46022,745474537</v>
      </c>
      <c r="BA221" s="1"/>
      <c r="BB221" s="1"/>
      <c r="BC221" s="1"/>
      <c r="BD221" s="1"/>
      <c r="BG221" t="str">
        <f>BH220&amp;"-"&amp;BJ220</f>
        <v>46023,7456828704-46203,7458449074</v>
      </c>
      <c r="BH221" s="1"/>
      <c r="BI221" s="1"/>
      <c r="BJ221" s="1"/>
      <c r="BK221" s="1"/>
      <c r="BN221" t="str">
        <f>BO220&amp;"-"&amp;BQ220</f>
        <v>46204,7462384259-46387,7464467593</v>
      </c>
      <c r="BO221" s="1"/>
      <c r="BP221" s="1"/>
      <c r="BQ221" s="1"/>
      <c r="BR221" s="1"/>
      <c r="BU221" t="str">
        <f>BV220&amp;"-"&amp;BX220</f>
        <v>46388,7468634259-46568,7471412037</v>
      </c>
      <c r="BV221" s="1"/>
      <c r="BW221" s="1"/>
      <c r="BX221" s="1"/>
      <c r="BY221" s="1"/>
      <c r="CB221" t="str">
        <f>CC220&amp;"-"&amp;CE220</f>
        <v>46569,7475-46752,747962963</v>
      </c>
      <c r="CC221" s="1"/>
      <c r="CD221" s="1"/>
      <c r="CE221" s="1"/>
      <c r="CF221" s="1"/>
      <c r="CI221" t="str">
        <f>CJ220&amp;"-"&amp;CL220</f>
        <v>46753,7482291667-46934,7485300926</v>
      </c>
      <c r="CJ221" s="1"/>
      <c r="CK221" s="1"/>
      <c r="CL221" s="1"/>
      <c r="CM221" s="1"/>
      <c r="CP221" t="str">
        <f>CQ220&amp;"-"&amp;CS220</f>
        <v>46935,7488425926-47118,7491203704</v>
      </c>
      <c r="CQ221" s="1"/>
      <c r="CR221" s="1"/>
      <c r="CS221" s="1"/>
      <c r="CT221" s="1"/>
      <c r="CV221" s="1"/>
      <c r="CY221" t="str">
        <f t="shared" si="3"/>
        <v/>
      </c>
      <c r="DB221">
        <v>0</v>
      </c>
    </row>
    <row r="222" spans="2:106" ht="21" customHeight="1" x14ac:dyDescent="0.15">
      <c r="E222" s="1"/>
      <c r="F222" s="1" t="s">
        <v>139</v>
      </c>
      <c r="G222" s="1"/>
      <c r="H222" s="1"/>
      <c r="I222" s="1"/>
      <c r="J222" s="1"/>
      <c r="P222" s="1"/>
      <c r="Q222" s="1"/>
      <c r="T222" t="s">
        <v>601</v>
      </c>
      <c r="CV222" t="s">
        <v>602</v>
      </c>
      <c r="CY222" t="str">
        <f t="shared" si="3"/>
        <v>Добавить значение признака дифференциации</v>
      </c>
      <c r="DB222">
        <v>0</v>
      </c>
    </row>
    <row r="223" spans="2:106" ht="23.25" customHeight="1" x14ac:dyDescent="0.15">
      <c r="E223" s="1"/>
      <c r="F223" s="1"/>
      <c r="G223" s="1"/>
      <c r="H223" s="1"/>
      <c r="I223" s="1"/>
      <c r="J223" s="1" t="str">
        <f>I218&amp;".2"</f>
        <v>1.10.1.1.2</v>
      </c>
      <c r="L223" t="s">
        <v>524</v>
      </c>
      <c r="P223" s="1"/>
      <c r="Q223" s="1" t="s">
        <v>106</v>
      </c>
      <c r="S223" t="str">
        <f>$J223</f>
        <v>1.10.1.1.2</v>
      </c>
      <c r="T223" t="s">
        <v>525</v>
      </c>
      <c r="V223" s="1"/>
      <c r="W223" s="1"/>
      <c r="X223" s="1"/>
      <c r="Y223" s="1"/>
      <c r="Z223" s="1"/>
      <c r="AA223" s="1"/>
      <c r="AB223" s="1"/>
      <c r="AC223" s="1" t="s">
        <v>637</v>
      </c>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t="s">
        <v>600</v>
      </c>
      <c r="CY223" t="str">
        <f t="shared" si="3"/>
        <v>Группа потребителей</v>
      </c>
      <c r="DB223">
        <v>0</v>
      </c>
    </row>
    <row r="224" spans="2:106" ht="23.25" customHeight="1" x14ac:dyDescent="0.15">
      <c r="E224" s="1"/>
      <c r="F224" s="1"/>
      <c r="G224" s="1"/>
      <c r="H224" s="1"/>
      <c r="I224" s="1"/>
      <c r="J224" s="1" t="str">
        <f>I218&amp;".1"</f>
        <v>1.10.1.1.1</v>
      </c>
      <c r="K224" s="1" t="str">
        <f>J223&amp;".1"</f>
        <v>1.10.1.1.2.1</v>
      </c>
      <c r="P224" s="1"/>
      <c r="Q224" s="1"/>
      <c r="R224">
        <v>1</v>
      </c>
      <c r="S224" t="str">
        <f>$K224</f>
        <v>1.10.1.1.2.1</v>
      </c>
      <c r="Y224" s="1"/>
      <c r="Z224" s="1" t="s">
        <v>63</v>
      </c>
      <c r="AA224" s="1"/>
      <c r="AB224" s="1" t="s">
        <v>63</v>
      </c>
      <c r="AC224">
        <v>20.8</v>
      </c>
      <c r="AF224" s="1">
        <v>45292.74417824074</v>
      </c>
      <c r="AG224" s="1" t="s">
        <v>63</v>
      </c>
      <c r="AH224" s="1">
        <v>45473.744351851848</v>
      </c>
      <c r="AI224" s="1" t="s">
        <v>63</v>
      </c>
      <c r="AJ224">
        <v>27.04</v>
      </c>
      <c r="AM224" s="1">
        <v>45474.744571759256</v>
      </c>
      <c r="AN224" s="1" t="s">
        <v>63</v>
      </c>
      <c r="AO224" s="1">
        <v>45657.744699074072</v>
      </c>
      <c r="AP224" s="1" t="s">
        <v>63</v>
      </c>
      <c r="AQ224">
        <v>27.04</v>
      </c>
      <c r="AT224" s="1">
        <v>45658.74486111111</v>
      </c>
      <c r="AU224" s="1" t="s">
        <v>63</v>
      </c>
      <c r="AV224" s="1">
        <v>45838.744988425926</v>
      </c>
      <c r="AW224" s="1" t="s">
        <v>63</v>
      </c>
      <c r="AX224">
        <v>35.03</v>
      </c>
      <c r="BA224" s="1">
        <v>45839.745370370372</v>
      </c>
      <c r="BB224" s="1" t="s">
        <v>63</v>
      </c>
      <c r="BC224" s="1">
        <v>46022.745567129627</v>
      </c>
      <c r="BD224" s="1" t="s">
        <v>63</v>
      </c>
      <c r="BE224">
        <v>29.16</v>
      </c>
      <c r="BH224" s="1">
        <v>46023.745775462965</v>
      </c>
      <c r="BI224" s="1" t="s">
        <v>63</v>
      </c>
      <c r="BJ224" s="1">
        <v>46203.745949074073</v>
      </c>
      <c r="BK224" s="1" t="s">
        <v>63</v>
      </c>
      <c r="BL224">
        <v>29.16</v>
      </c>
      <c r="BO224" s="1">
        <v>46204.746342592596</v>
      </c>
      <c r="BP224" s="1" t="s">
        <v>63</v>
      </c>
      <c r="BQ224" s="1">
        <v>46387.746516203704</v>
      </c>
      <c r="BR224" s="1" t="s">
        <v>63</v>
      </c>
      <c r="BS224">
        <v>29.16</v>
      </c>
      <c r="BV224" s="1">
        <v>46388.747048611112</v>
      </c>
      <c r="BW224" s="1" t="s">
        <v>63</v>
      </c>
      <c r="BX224" s="1">
        <v>46568.74728009259</v>
      </c>
      <c r="BY224" s="1" t="s">
        <v>63</v>
      </c>
      <c r="BZ224">
        <v>30.69</v>
      </c>
      <c r="CC224" s="1">
        <v>46569.747627314813</v>
      </c>
      <c r="CD224" s="1" t="s">
        <v>63</v>
      </c>
      <c r="CE224" s="1">
        <v>46752.748032407406</v>
      </c>
      <c r="CF224" s="1" t="s">
        <v>63</v>
      </c>
      <c r="CG224">
        <v>30.69</v>
      </c>
      <c r="CJ224" s="1">
        <v>46753.748310185183</v>
      </c>
      <c r="CK224" s="1" t="s">
        <v>63</v>
      </c>
      <c r="CL224" s="1">
        <v>46934.74863425926</v>
      </c>
      <c r="CM224" s="1" t="s">
        <v>63</v>
      </c>
      <c r="CN224">
        <v>30.92</v>
      </c>
      <c r="CQ224" s="1">
        <v>46935.748993055553</v>
      </c>
      <c r="CR224" s="1" t="s">
        <v>63</v>
      </c>
      <c r="CS224" s="1">
        <v>47118.749189814815</v>
      </c>
      <c r="CT224" s="1" t="s">
        <v>63</v>
      </c>
      <c r="CV22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24" t="e">
        <f ca="1">STRCHECKDATE(V225:CU225)</f>
        <v>#NAME?</v>
      </c>
      <c r="CY224" t="str">
        <f t="shared" si="3"/>
        <v/>
      </c>
      <c r="DB224">
        <v>0</v>
      </c>
    </row>
    <row r="225" spans="2:106" ht="14.25" customHeight="1" x14ac:dyDescent="0.15">
      <c r="E225" s="1"/>
      <c r="F225" s="1"/>
      <c r="G225" s="1"/>
      <c r="H225" s="1"/>
      <c r="I225" s="1"/>
      <c r="J225" s="1" t="str">
        <f>I218&amp;".1"</f>
        <v>1.10.1.1.1</v>
      </c>
      <c r="K225" s="1"/>
      <c r="P225" s="1"/>
      <c r="Q225" s="1"/>
      <c r="X225" t="str">
        <f>Y224&amp;"-"&amp;AA224</f>
        <v>-</v>
      </c>
      <c r="Y225" s="1"/>
      <c r="Z225" s="1"/>
      <c r="AA225" s="1"/>
      <c r="AB225" s="1"/>
      <c r="AE225" t="str">
        <f>AF224&amp;"-"&amp;AH224</f>
        <v>45292,7441782407-45473,7443518518</v>
      </c>
      <c r="AF225" s="1"/>
      <c r="AG225" s="1"/>
      <c r="AH225" s="1"/>
      <c r="AI225" s="1"/>
      <c r="AL225" t="str">
        <f>AM224&amp;"-"&amp;AO224</f>
        <v>45474,7445717593-45657,7446990741</v>
      </c>
      <c r="AM225" s="1"/>
      <c r="AN225" s="1"/>
      <c r="AO225" s="1"/>
      <c r="AP225" s="1"/>
      <c r="AS225" t="str">
        <f>AT224&amp;"-"&amp;AV224</f>
        <v>45658,7448611111-45838,7449884259</v>
      </c>
      <c r="AT225" s="1"/>
      <c r="AU225" s="1"/>
      <c r="AV225" s="1"/>
      <c r="AW225" s="1"/>
      <c r="AZ225" t="str">
        <f>BA224&amp;"-"&amp;BC224</f>
        <v>45839,7453703704-46022,7455671296</v>
      </c>
      <c r="BA225" s="1"/>
      <c r="BB225" s="1"/>
      <c r="BC225" s="1"/>
      <c r="BD225" s="1"/>
      <c r="BG225" t="str">
        <f>BH224&amp;"-"&amp;BJ224</f>
        <v>46023,745775463-46203,7459490741</v>
      </c>
      <c r="BH225" s="1"/>
      <c r="BI225" s="1"/>
      <c r="BJ225" s="1"/>
      <c r="BK225" s="1"/>
      <c r="BN225" t="str">
        <f>BO224&amp;"-"&amp;BQ224</f>
        <v>46204,7463425926-46387,7465162037</v>
      </c>
      <c r="BO225" s="1"/>
      <c r="BP225" s="1"/>
      <c r="BQ225" s="1"/>
      <c r="BR225" s="1"/>
      <c r="BU225" t="str">
        <f>BV224&amp;"-"&amp;BX224</f>
        <v>46388,7470486111-46568,7472800926</v>
      </c>
      <c r="BV225" s="1"/>
      <c r="BW225" s="1"/>
      <c r="BX225" s="1"/>
      <c r="BY225" s="1"/>
      <c r="CB225" t="str">
        <f>CC224&amp;"-"&amp;CE224</f>
        <v>46569,7476273148-46752,7480324074</v>
      </c>
      <c r="CC225" s="1"/>
      <c r="CD225" s="1"/>
      <c r="CE225" s="1"/>
      <c r="CF225" s="1"/>
      <c r="CI225" t="str">
        <f>CJ224&amp;"-"&amp;CL224</f>
        <v>46753,7483101852-46934,7486342593</v>
      </c>
      <c r="CJ225" s="1"/>
      <c r="CK225" s="1"/>
      <c r="CL225" s="1"/>
      <c r="CM225" s="1"/>
      <c r="CP225" t="str">
        <f>CQ224&amp;"-"&amp;CS224</f>
        <v>46935,7489930556-47118,7491898148</v>
      </c>
      <c r="CQ225" s="1"/>
      <c r="CR225" s="1"/>
      <c r="CS225" s="1"/>
      <c r="CT225" s="1"/>
      <c r="CV225" s="1"/>
      <c r="CY225" t="str">
        <f t="shared" si="3"/>
        <v/>
      </c>
      <c r="DB225">
        <v>0</v>
      </c>
    </row>
    <row r="226" spans="2:106" ht="21" customHeight="1" x14ac:dyDescent="0.15">
      <c r="E226" s="1"/>
      <c r="F226" s="1"/>
      <c r="G226" s="1"/>
      <c r="H226" s="1"/>
      <c r="I226" s="1"/>
      <c r="J226" s="1" t="str">
        <f>I218&amp;".1"</f>
        <v>1.10.1.1.1</v>
      </c>
      <c r="P226" s="1"/>
      <c r="Q226" s="1"/>
      <c r="T226" t="s">
        <v>601</v>
      </c>
      <c r="CV226" t="s">
        <v>602</v>
      </c>
      <c r="CY226" t="str">
        <f t="shared" si="3"/>
        <v>Добавить значение признака дифференциации</v>
      </c>
      <c r="DB226">
        <v>0</v>
      </c>
    </row>
    <row r="227" spans="2:106" ht="21" customHeight="1" x14ac:dyDescent="0.15">
      <c r="E227" s="1"/>
      <c r="F227" s="1" t="s">
        <v>139</v>
      </c>
      <c r="G227" s="1"/>
      <c r="H227" s="1"/>
      <c r="I227" s="1"/>
      <c r="P227" s="1"/>
      <c r="T227" t="s">
        <v>530</v>
      </c>
      <c r="CY227" t="str">
        <f t="shared" si="3"/>
        <v>Добавить группу потребителей</v>
      </c>
      <c r="DB227">
        <v>0</v>
      </c>
    </row>
    <row r="228" spans="2:106" ht="21" customHeight="1" x14ac:dyDescent="0.15">
      <c r="E228" s="1"/>
      <c r="F228" s="1" t="s">
        <v>139</v>
      </c>
      <c r="G228" s="1"/>
      <c r="H228" s="1"/>
      <c r="T228" t="s">
        <v>603</v>
      </c>
      <c r="CY228" t="str">
        <f t="shared" si="3"/>
        <v>Добавить наименование признака дифференциации</v>
      </c>
      <c r="DB228">
        <v>0</v>
      </c>
    </row>
    <row r="229" spans="2:106" ht="14.25" customHeight="1" x14ac:dyDescent="0.15">
      <c r="E229" s="1"/>
      <c r="F229" s="1" t="s">
        <v>139</v>
      </c>
      <c r="T229" t="s">
        <v>321</v>
      </c>
      <c r="CY229" t="str">
        <f t="shared" si="3"/>
        <v>Добавить централизованную систему для дифференциации</v>
      </c>
      <c r="DB229">
        <v>0</v>
      </c>
    </row>
    <row r="230" spans="2:106" ht="23.25" customHeight="1" x14ac:dyDescent="0.15">
      <c r="B230" t="s">
        <v>371</v>
      </c>
      <c r="E230" s="1"/>
      <c r="F230" s="1" t="s">
        <v>150</v>
      </c>
      <c r="S230" t="str">
        <f>INDEX(PT_DIFFERENTIATION_NUM_TER,MATCH(B230,PT_DIFFERENTIATION_TER_ID,0))</f>
        <v>1.11</v>
      </c>
      <c r="T230" t="s">
        <v>515</v>
      </c>
      <c r="V230" s="1"/>
      <c r="W230" s="1"/>
      <c r="X230" s="1"/>
      <c r="Y230" s="1"/>
      <c r="Z230" s="1"/>
      <c r="AA230" s="1"/>
      <c r="AB230" s="1"/>
      <c r="AC230" s="1" t="str">
        <f>INDEX(PT_DIFFERENTIATION_TER,MATCH(B230,PT_DIFFERENTIATION_TER_ID,0))</f>
        <v>Территория 11</v>
      </c>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t="s">
        <v>516</v>
      </c>
      <c r="CY230" t="str">
        <f t="shared" si="3"/>
        <v>Территория действия тарифа</v>
      </c>
      <c r="DB230">
        <v>0</v>
      </c>
    </row>
    <row r="231" spans="2:106" ht="23.25" customHeight="1" x14ac:dyDescent="0.15">
      <c r="C231" t="s">
        <v>372</v>
      </c>
      <c r="E231" s="1"/>
      <c r="F231" s="1" t="s">
        <v>145</v>
      </c>
      <c r="G231" s="1">
        <v>1</v>
      </c>
      <c r="S231" t="str">
        <f>INDEX(PT_DIFFERENTIATION_NUM_CS,MATCH(C231,PT_DIFFERENTIATION_CS_ID,0))</f>
        <v>1.11.1</v>
      </c>
      <c r="T231" t="s">
        <v>631</v>
      </c>
      <c r="V231" s="1"/>
      <c r="W231" s="1"/>
      <c r="X231" s="1"/>
      <c r="Y231" s="1"/>
      <c r="Z231" s="1"/>
      <c r="AA231" s="1"/>
      <c r="AB231" s="1"/>
      <c r="AC231" s="1" t="str">
        <f>INDEX(PT_DIFFERENTIATION_CS,MATCH(C231,PT_DIFFERENTIATION_CS_ID,0))</f>
        <v>Дальнегорский ГО</v>
      </c>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t="s">
        <v>632</v>
      </c>
      <c r="CY231" t="str">
        <f t="shared" si="3"/>
        <v>Наименование централизованной системы водоотведения</v>
      </c>
      <c r="DB231">
        <v>0</v>
      </c>
    </row>
    <row r="232" spans="2:106" ht="23.25" customHeight="1" x14ac:dyDescent="0.15">
      <c r="E232" s="1"/>
      <c r="F232" s="1" t="s">
        <v>145</v>
      </c>
      <c r="G232" s="1"/>
      <c r="H232" s="1"/>
      <c r="I232" s="1" t="str">
        <f>S231&amp;".1"</f>
        <v>1.11.1.1</v>
      </c>
      <c r="P232" s="1">
        <v>1</v>
      </c>
      <c r="S232" t="str">
        <f>$I232</f>
        <v>1.11.1.1</v>
      </c>
      <c r="T232" t="s">
        <v>598</v>
      </c>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t="s">
        <v>599</v>
      </c>
      <c r="CY232" t="str">
        <f t="shared" si="3"/>
        <v>Наименование признака дифференциации</v>
      </c>
      <c r="DB232">
        <v>0</v>
      </c>
    </row>
    <row r="233" spans="2:106" ht="23.25" customHeight="1" x14ac:dyDescent="0.15">
      <c r="E233" s="1"/>
      <c r="F233" s="1" t="s">
        <v>145</v>
      </c>
      <c r="G233" s="1"/>
      <c r="H233" s="1"/>
      <c r="I233" s="1"/>
      <c r="J233" s="1" t="str">
        <f>I232&amp;".1"</f>
        <v>1.11.1.1.1</v>
      </c>
      <c r="L233" t="s">
        <v>524</v>
      </c>
      <c r="P233" s="1"/>
      <c r="Q233" s="1">
        <v>1</v>
      </c>
      <c r="S233" t="str">
        <f>$J233</f>
        <v>1.11.1.1.1</v>
      </c>
      <c r="T233" t="s">
        <v>525</v>
      </c>
      <c r="V233" s="1"/>
      <c r="W233" s="1"/>
      <c r="X233" s="1"/>
      <c r="Y233" s="1"/>
      <c r="Z233" s="1"/>
      <c r="AA233" s="1"/>
      <c r="AB233" s="1"/>
      <c r="AC233" s="1" t="s">
        <v>636</v>
      </c>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t="s">
        <v>600</v>
      </c>
      <c r="CY233" t="str">
        <f t="shared" ref="CY233:CY285" si="4">IF(T233="","",T233)</f>
        <v>Группа потребителей</v>
      </c>
      <c r="DB233">
        <v>0</v>
      </c>
    </row>
    <row r="234" spans="2:106" ht="23.25" customHeight="1" x14ac:dyDescent="0.15">
      <c r="E234" s="1"/>
      <c r="F234" s="1" t="s">
        <v>145</v>
      </c>
      <c r="G234" s="1"/>
      <c r="H234" s="1"/>
      <c r="I234" s="1"/>
      <c r="J234" s="1"/>
      <c r="K234" s="1" t="str">
        <f>J233&amp;".1"</f>
        <v>1.11.1.1.1.1</v>
      </c>
      <c r="P234" s="1"/>
      <c r="Q234" s="1"/>
      <c r="R234">
        <v>1</v>
      </c>
      <c r="S234" t="str">
        <f>$K234</f>
        <v>1.11.1.1.1.1</v>
      </c>
      <c r="Y234" s="1"/>
      <c r="Z234" s="1" t="s">
        <v>63</v>
      </c>
      <c r="AA234" s="1"/>
      <c r="AB234" s="1" t="s">
        <v>63</v>
      </c>
      <c r="AC234">
        <v>25.36</v>
      </c>
      <c r="AF234" s="1">
        <v>45292.434201388889</v>
      </c>
      <c r="AG234" s="1" t="s">
        <v>63</v>
      </c>
      <c r="AH234" s="1">
        <v>45473.434386574074</v>
      </c>
      <c r="AI234" s="1" t="s">
        <v>63</v>
      </c>
      <c r="AJ234">
        <v>32.96</v>
      </c>
      <c r="AM234" s="1">
        <v>45474.434606481482</v>
      </c>
      <c r="AN234" s="1" t="s">
        <v>63</v>
      </c>
      <c r="AO234" s="1">
        <v>45657.434733796297</v>
      </c>
      <c r="AP234" s="1" t="s">
        <v>63</v>
      </c>
      <c r="AQ234">
        <v>32.96</v>
      </c>
      <c r="AT234" s="1">
        <v>45658.434872685182</v>
      </c>
      <c r="AU234" s="1" t="s">
        <v>63</v>
      </c>
      <c r="AV234" s="1">
        <v>45838.434976851851</v>
      </c>
      <c r="AW234" s="1" t="s">
        <v>63</v>
      </c>
      <c r="AX234">
        <v>39.549999999999997</v>
      </c>
      <c r="BA234" s="1">
        <v>45839.43513888889</v>
      </c>
      <c r="BB234" s="1" t="s">
        <v>63</v>
      </c>
      <c r="BC234" s="1">
        <v>46022.435300925928</v>
      </c>
      <c r="BD234" s="1" t="s">
        <v>63</v>
      </c>
      <c r="BE234">
        <v>39.549999999999997</v>
      </c>
      <c r="BH234" s="1">
        <v>46023.435624999998</v>
      </c>
      <c r="BI234" s="1" t="s">
        <v>63</v>
      </c>
      <c r="BJ234" s="1">
        <v>46203.435833333337</v>
      </c>
      <c r="BK234" s="1" t="s">
        <v>63</v>
      </c>
      <c r="BL234">
        <v>41.53</v>
      </c>
      <c r="BO234" s="1">
        <v>46204.436238425929</v>
      </c>
      <c r="BP234" s="1" t="s">
        <v>63</v>
      </c>
      <c r="BQ234" s="1">
        <v>46387.43645833333</v>
      </c>
      <c r="BR234" s="1" t="s">
        <v>63</v>
      </c>
      <c r="BS234">
        <v>41.53</v>
      </c>
      <c r="BV234" s="1">
        <v>46388.436689814815</v>
      </c>
      <c r="BW234" s="1" t="s">
        <v>63</v>
      </c>
      <c r="BX234" s="1">
        <v>46568.436874999999</v>
      </c>
      <c r="BY234" s="1" t="s">
        <v>63</v>
      </c>
      <c r="BZ234">
        <v>43.2</v>
      </c>
      <c r="CC234" s="1">
        <v>46569.4371875</v>
      </c>
      <c r="CD234" s="1" t="s">
        <v>63</v>
      </c>
      <c r="CE234" s="1">
        <v>46752.437418981484</v>
      </c>
      <c r="CF234" s="1" t="s">
        <v>63</v>
      </c>
      <c r="CG234">
        <v>43.2</v>
      </c>
      <c r="CJ234" s="1">
        <v>46753.437638888892</v>
      </c>
      <c r="CK234" s="1" t="s">
        <v>63</v>
      </c>
      <c r="CL234" s="1">
        <v>46934.43822916667</v>
      </c>
      <c r="CM234" s="1" t="s">
        <v>63</v>
      </c>
      <c r="CN234">
        <v>44.11</v>
      </c>
      <c r="CQ234" s="1">
        <v>46935.438634259262</v>
      </c>
      <c r="CR234" s="1" t="s">
        <v>63</v>
      </c>
      <c r="CS234" s="1">
        <v>47118.438888888886</v>
      </c>
      <c r="CT234" s="1" t="s">
        <v>63</v>
      </c>
      <c r="CV23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34" t="e">
        <f ca="1">STRCHECKDATE(V235:CU235)</f>
        <v>#NAME?</v>
      </c>
      <c r="CY234" t="str">
        <f t="shared" si="4"/>
        <v/>
      </c>
      <c r="DB234">
        <v>0</v>
      </c>
    </row>
    <row r="235" spans="2:106" ht="14.25" customHeight="1" x14ac:dyDescent="0.15">
      <c r="E235" s="1"/>
      <c r="F235" s="1" t="s">
        <v>145</v>
      </c>
      <c r="G235" s="1"/>
      <c r="H235" s="1"/>
      <c r="I235" s="1"/>
      <c r="J235" s="1"/>
      <c r="K235" s="1"/>
      <c r="P235" s="1"/>
      <c r="Q235" s="1"/>
      <c r="X235" t="str">
        <f>Y234&amp;"-"&amp;AA234</f>
        <v>-</v>
      </c>
      <c r="Y235" s="1"/>
      <c r="Z235" s="1"/>
      <c r="AA235" s="1"/>
      <c r="AB235" s="1"/>
      <c r="AE235" t="str">
        <f>AF234&amp;"-"&amp;AH234</f>
        <v>45292,4342013889-45473,4343865741</v>
      </c>
      <c r="AF235" s="1"/>
      <c r="AG235" s="1"/>
      <c r="AH235" s="1"/>
      <c r="AI235" s="1"/>
      <c r="AL235" t="str">
        <f>AM234&amp;"-"&amp;AO234</f>
        <v>45474,4346064815-45657,4347337963</v>
      </c>
      <c r="AM235" s="1"/>
      <c r="AN235" s="1"/>
      <c r="AO235" s="1"/>
      <c r="AP235" s="1"/>
      <c r="AS235" t="str">
        <f>AT234&amp;"-"&amp;AV234</f>
        <v>45658,4348726852-45838,4349768519</v>
      </c>
      <c r="AT235" s="1"/>
      <c r="AU235" s="1"/>
      <c r="AV235" s="1"/>
      <c r="AW235" s="1"/>
      <c r="AZ235" t="str">
        <f>BA234&amp;"-"&amp;BC234</f>
        <v>45839,4351388888-46022,4353009259</v>
      </c>
      <c r="BA235" s="1"/>
      <c r="BB235" s="1"/>
      <c r="BC235" s="1"/>
      <c r="BD235" s="1"/>
      <c r="BG235" t="str">
        <f>BH234&amp;"-"&amp;BJ234</f>
        <v>46023,435625-46203,4358333333</v>
      </c>
      <c r="BH235" s="1"/>
      <c r="BI235" s="1"/>
      <c r="BJ235" s="1"/>
      <c r="BK235" s="1"/>
      <c r="BN235" t="str">
        <f>BO234&amp;"-"&amp;BQ234</f>
        <v>46204,4362384259-46387,4364583333</v>
      </c>
      <c r="BO235" s="1"/>
      <c r="BP235" s="1"/>
      <c r="BQ235" s="1"/>
      <c r="BR235" s="1"/>
      <c r="BU235" t="str">
        <f>BV234&amp;"-"&amp;BX234</f>
        <v>46388,4366898148-46568,436875</v>
      </c>
      <c r="BV235" s="1"/>
      <c r="BW235" s="1"/>
      <c r="BX235" s="1"/>
      <c r="BY235" s="1"/>
      <c r="CB235" t="str">
        <f>CC234&amp;"-"&amp;CE234</f>
        <v>46569,4371875-46752,4374189815</v>
      </c>
      <c r="CC235" s="1"/>
      <c r="CD235" s="1"/>
      <c r="CE235" s="1"/>
      <c r="CF235" s="1"/>
      <c r="CI235" t="str">
        <f>CJ234&amp;"-"&amp;CL234</f>
        <v>46753,4376388889-46934,4382291666</v>
      </c>
      <c r="CJ235" s="1"/>
      <c r="CK235" s="1"/>
      <c r="CL235" s="1"/>
      <c r="CM235" s="1"/>
      <c r="CP235" t="str">
        <f>CQ234&amp;"-"&amp;CS234</f>
        <v>46935,4386342593-47118,4388888889</v>
      </c>
      <c r="CQ235" s="1"/>
      <c r="CR235" s="1"/>
      <c r="CS235" s="1"/>
      <c r="CT235" s="1"/>
      <c r="CV235" s="1"/>
      <c r="CY235" t="str">
        <f t="shared" si="4"/>
        <v/>
      </c>
      <c r="DB235">
        <v>0</v>
      </c>
    </row>
    <row r="236" spans="2:106" ht="21" customHeight="1" x14ac:dyDescent="0.15">
      <c r="E236" s="1"/>
      <c r="F236" s="1" t="s">
        <v>145</v>
      </c>
      <c r="G236" s="1"/>
      <c r="H236" s="1"/>
      <c r="I236" s="1"/>
      <c r="J236" s="1"/>
      <c r="P236" s="1"/>
      <c r="Q236" s="1"/>
      <c r="T236" t="s">
        <v>601</v>
      </c>
      <c r="CV236" t="s">
        <v>602</v>
      </c>
      <c r="CY236" t="str">
        <f t="shared" si="4"/>
        <v>Добавить значение признака дифференциации</v>
      </c>
      <c r="DB236">
        <v>0</v>
      </c>
    </row>
    <row r="237" spans="2:106" ht="23.25" customHeight="1" x14ac:dyDescent="0.15">
      <c r="E237" s="1"/>
      <c r="F237" s="1"/>
      <c r="G237" s="1"/>
      <c r="H237" s="1"/>
      <c r="I237" s="1"/>
      <c r="J237" s="1" t="str">
        <f>I232&amp;".2"</f>
        <v>1.11.1.1.2</v>
      </c>
      <c r="L237" t="s">
        <v>524</v>
      </c>
      <c r="P237" s="1"/>
      <c r="Q237" s="1" t="s">
        <v>106</v>
      </c>
      <c r="S237" t="str">
        <f>$J237</f>
        <v>1.11.1.1.2</v>
      </c>
      <c r="T237" t="s">
        <v>525</v>
      </c>
      <c r="V237" s="1"/>
      <c r="W237" s="1"/>
      <c r="X237" s="1"/>
      <c r="Y237" s="1"/>
      <c r="Z237" s="1"/>
      <c r="AA237" s="1"/>
      <c r="AB237" s="1"/>
      <c r="AC237" s="1" t="s">
        <v>637</v>
      </c>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t="s">
        <v>600</v>
      </c>
      <c r="CY237" t="str">
        <f t="shared" si="4"/>
        <v>Группа потребителей</v>
      </c>
      <c r="DB237">
        <v>0</v>
      </c>
    </row>
    <row r="238" spans="2:106" ht="23.25" customHeight="1" x14ac:dyDescent="0.15">
      <c r="E238" s="1"/>
      <c r="F238" s="1"/>
      <c r="G238" s="1"/>
      <c r="H238" s="1"/>
      <c r="I238" s="1"/>
      <c r="J238" s="1" t="str">
        <f>I232&amp;".1"</f>
        <v>1.11.1.1.1</v>
      </c>
      <c r="K238" s="1" t="str">
        <f>J237&amp;".1"</f>
        <v>1.11.1.1.2.1</v>
      </c>
      <c r="P238" s="1"/>
      <c r="Q238" s="1"/>
      <c r="R238">
        <v>1</v>
      </c>
      <c r="S238" t="str">
        <f>$K238</f>
        <v>1.11.1.1.2.1</v>
      </c>
      <c r="Y238" s="1"/>
      <c r="Z238" s="1" t="s">
        <v>63</v>
      </c>
      <c r="AA238" s="1"/>
      <c r="AB238" s="1" t="s">
        <v>63</v>
      </c>
      <c r="AC238">
        <v>21.13</v>
      </c>
      <c r="AF238" s="1">
        <v>45292.434282407405</v>
      </c>
      <c r="AG238" s="1" t="s">
        <v>63</v>
      </c>
      <c r="AH238" s="1">
        <v>45473.43445601852</v>
      </c>
      <c r="AI238" s="1" t="s">
        <v>63</v>
      </c>
      <c r="AJ238">
        <v>27.47</v>
      </c>
      <c r="AM238" s="1">
        <v>45474.434675925928</v>
      </c>
      <c r="AN238" s="1" t="s">
        <v>63</v>
      </c>
      <c r="AO238" s="1">
        <v>45657.43476851852</v>
      </c>
      <c r="AP238" s="1" t="s">
        <v>63</v>
      </c>
      <c r="AQ238">
        <v>27.47</v>
      </c>
      <c r="AT238" s="1">
        <v>45658.434942129628</v>
      </c>
      <c r="AU238" s="1" t="s">
        <v>63</v>
      </c>
      <c r="AV238" s="1">
        <v>45838.435057870367</v>
      </c>
      <c r="AW238" s="1" t="s">
        <v>63</v>
      </c>
      <c r="AX238">
        <v>32.96</v>
      </c>
      <c r="BA238" s="1">
        <v>45839.435219907406</v>
      </c>
      <c r="BB238" s="1" t="s">
        <v>63</v>
      </c>
      <c r="BC238" s="1">
        <v>46022.435370370367</v>
      </c>
      <c r="BD238" s="1" t="s">
        <v>63</v>
      </c>
      <c r="BE238">
        <v>32.96</v>
      </c>
      <c r="BH238" s="1">
        <v>46023.435740740744</v>
      </c>
      <c r="BI238" s="1" t="s">
        <v>63</v>
      </c>
      <c r="BJ238" s="1">
        <v>46203.435937499999</v>
      </c>
      <c r="BK238" s="1" t="s">
        <v>63</v>
      </c>
      <c r="BL238">
        <v>34.61</v>
      </c>
      <c r="BO238" s="1">
        <v>46204.436365740738</v>
      </c>
      <c r="BP238" s="1" t="s">
        <v>63</v>
      </c>
      <c r="BQ238" s="1">
        <v>46387.436527777776</v>
      </c>
      <c r="BR238" s="1" t="s">
        <v>63</v>
      </c>
      <c r="BS238">
        <v>34.61</v>
      </c>
      <c r="BV238" s="1">
        <v>46388.436793981484</v>
      </c>
      <c r="BW238" s="1" t="s">
        <v>63</v>
      </c>
      <c r="BX238" s="1">
        <v>46568.436990740738</v>
      </c>
      <c r="BY238" s="1" t="s">
        <v>63</v>
      </c>
      <c r="BZ238">
        <v>36</v>
      </c>
      <c r="CC238" s="1">
        <v>46569.437303240738</v>
      </c>
      <c r="CD238" s="1" t="s">
        <v>63</v>
      </c>
      <c r="CE238" s="1">
        <v>46752.4375</v>
      </c>
      <c r="CF238" s="1" t="s">
        <v>63</v>
      </c>
      <c r="CG238">
        <v>36</v>
      </c>
      <c r="CJ238" s="1">
        <v>46753.437824074077</v>
      </c>
      <c r="CK238" s="1" t="s">
        <v>63</v>
      </c>
      <c r="CL238" s="1">
        <v>46934.438356481478</v>
      </c>
      <c r="CM238" s="1" t="s">
        <v>63</v>
      </c>
      <c r="CN238">
        <v>36.76</v>
      </c>
      <c r="CQ238" s="1">
        <v>46935.438750000001</v>
      </c>
      <c r="CR238" s="1" t="s">
        <v>63</v>
      </c>
      <c r="CS238" s="1">
        <v>47118.438958333332</v>
      </c>
      <c r="CT238" s="1" t="s">
        <v>63</v>
      </c>
      <c r="CV23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38" t="e">
        <f ca="1">STRCHECKDATE(V239:CU239)</f>
        <v>#NAME?</v>
      </c>
      <c r="CY238" t="str">
        <f t="shared" si="4"/>
        <v/>
      </c>
      <c r="DB238">
        <v>0</v>
      </c>
    </row>
    <row r="239" spans="2:106" ht="14.25" customHeight="1" x14ac:dyDescent="0.15">
      <c r="E239" s="1"/>
      <c r="F239" s="1"/>
      <c r="G239" s="1"/>
      <c r="H239" s="1"/>
      <c r="I239" s="1"/>
      <c r="J239" s="1" t="str">
        <f>I232&amp;".1"</f>
        <v>1.11.1.1.1</v>
      </c>
      <c r="K239" s="1"/>
      <c r="P239" s="1"/>
      <c r="Q239" s="1"/>
      <c r="X239" t="str">
        <f>Y238&amp;"-"&amp;AA238</f>
        <v>-</v>
      </c>
      <c r="Y239" s="1"/>
      <c r="Z239" s="1"/>
      <c r="AA239" s="1"/>
      <c r="AB239" s="1"/>
      <c r="AE239" t="str">
        <f>AF238&amp;"-"&amp;AH238</f>
        <v>45292,4342824074-45473,4344560185</v>
      </c>
      <c r="AF239" s="1"/>
      <c r="AG239" s="1"/>
      <c r="AH239" s="1"/>
      <c r="AI239" s="1"/>
      <c r="AL239" t="str">
        <f>AM238&amp;"-"&amp;AO238</f>
        <v>45474,4346759259-45657,4347685185</v>
      </c>
      <c r="AM239" s="1"/>
      <c r="AN239" s="1"/>
      <c r="AO239" s="1"/>
      <c r="AP239" s="1"/>
      <c r="AS239" t="str">
        <f>AT238&amp;"-"&amp;AV238</f>
        <v>45658,4349421296-45838,4350578704</v>
      </c>
      <c r="AT239" s="1"/>
      <c r="AU239" s="1"/>
      <c r="AV239" s="1"/>
      <c r="AW239" s="1"/>
      <c r="AZ239" t="str">
        <f>BA238&amp;"-"&amp;BC238</f>
        <v>45839,4352199074-46022,4353703704</v>
      </c>
      <c r="BA239" s="1"/>
      <c r="BB239" s="1"/>
      <c r="BC239" s="1"/>
      <c r="BD239" s="1"/>
      <c r="BG239" t="str">
        <f>BH238&amp;"-"&amp;BJ238</f>
        <v>46023,4357407407-46203,4359375</v>
      </c>
      <c r="BH239" s="1"/>
      <c r="BI239" s="1"/>
      <c r="BJ239" s="1"/>
      <c r="BK239" s="1"/>
      <c r="BN239" t="str">
        <f>BO238&amp;"-"&amp;BQ238</f>
        <v>46204,4363657407-46387,4365277778</v>
      </c>
      <c r="BO239" s="1"/>
      <c r="BP239" s="1"/>
      <c r="BQ239" s="1"/>
      <c r="BR239" s="1"/>
      <c r="BU239" t="str">
        <f>BV238&amp;"-"&amp;BX238</f>
        <v>46388,4367939815-46568,4369907407</v>
      </c>
      <c r="BV239" s="1"/>
      <c r="BW239" s="1"/>
      <c r="BX239" s="1"/>
      <c r="BY239" s="1"/>
      <c r="CB239" t="str">
        <f>CC238&amp;"-"&amp;CE238</f>
        <v>46569,4373032407-46752,4375</v>
      </c>
      <c r="CC239" s="1"/>
      <c r="CD239" s="1"/>
      <c r="CE239" s="1"/>
      <c r="CF239" s="1"/>
      <c r="CI239" t="str">
        <f>CJ238&amp;"-"&amp;CL238</f>
        <v>46753,4378240741-46934,4383564815</v>
      </c>
      <c r="CJ239" s="1"/>
      <c r="CK239" s="1"/>
      <c r="CL239" s="1"/>
      <c r="CM239" s="1"/>
      <c r="CP239" t="str">
        <f>CQ238&amp;"-"&amp;CS238</f>
        <v>46935,43875-47118,4389583333</v>
      </c>
      <c r="CQ239" s="1"/>
      <c r="CR239" s="1"/>
      <c r="CS239" s="1"/>
      <c r="CT239" s="1"/>
      <c r="CV239" s="1"/>
      <c r="CY239" t="str">
        <f t="shared" si="4"/>
        <v/>
      </c>
      <c r="DB239">
        <v>0</v>
      </c>
    </row>
    <row r="240" spans="2:106" ht="21" customHeight="1" x14ac:dyDescent="0.15">
      <c r="E240" s="1"/>
      <c r="F240" s="1"/>
      <c r="G240" s="1"/>
      <c r="H240" s="1"/>
      <c r="I240" s="1"/>
      <c r="J240" s="1" t="str">
        <f>I232&amp;".1"</f>
        <v>1.11.1.1.1</v>
      </c>
      <c r="P240" s="1"/>
      <c r="Q240" s="1"/>
      <c r="T240" t="s">
        <v>601</v>
      </c>
      <c r="CV240" t="s">
        <v>602</v>
      </c>
      <c r="CY240" t="str">
        <f t="shared" si="4"/>
        <v>Добавить значение признака дифференциации</v>
      </c>
      <c r="DB240">
        <v>0</v>
      </c>
    </row>
    <row r="241" spans="2:106" ht="21" customHeight="1" x14ac:dyDescent="0.15">
      <c r="E241" s="1"/>
      <c r="F241" s="1" t="s">
        <v>145</v>
      </c>
      <c r="G241" s="1"/>
      <c r="H241" s="1"/>
      <c r="I241" s="1"/>
      <c r="P241" s="1"/>
      <c r="T241" t="s">
        <v>530</v>
      </c>
      <c r="CY241" t="str">
        <f t="shared" si="4"/>
        <v>Добавить группу потребителей</v>
      </c>
      <c r="DB241">
        <v>0</v>
      </c>
    </row>
    <row r="242" spans="2:106" ht="21" customHeight="1" x14ac:dyDescent="0.15">
      <c r="E242" s="1"/>
      <c r="F242" s="1" t="s">
        <v>145</v>
      </c>
      <c r="G242" s="1"/>
      <c r="H242" s="1"/>
      <c r="T242" t="s">
        <v>603</v>
      </c>
      <c r="CY242" t="str">
        <f t="shared" si="4"/>
        <v>Добавить наименование признака дифференциации</v>
      </c>
      <c r="DB242">
        <v>0</v>
      </c>
    </row>
    <row r="243" spans="2:106" ht="14.25" customHeight="1" x14ac:dyDescent="0.15">
      <c r="E243" s="1"/>
      <c r="F243" s="1" t="s">
        <v>145</v>
      </c>
      <c r="T243" t="s">
        <v>321</v>
      </c>
      <c r="CY243" t="str">
        <f t="shared" si="4"/>
        <v>Добавить централизованную систему для дифференциации</v>
      </c>
      <c r="DB243">
        <v>0</v>
      </c>
    </row>
    <row r="244" spans="2:106" ht="23.25" customHeight="1" x14ac:dyDescent="0.15">
      <c r="B244" t="s">
        <v>375</v>
      </c>
      <c r="E244" s="1"/>
      <c r="F244" s="1" t="s">
        <v>154</v>
      </c>
      <c r="S244" t="str">
        <f>INDEX(PT_DIFFERENTIATION_NUM_TER,MATCH(B244,PT_DIFFERENTIATION_TER_ID,0))</f>
        <v>1.12</v>
      </c>
      <c r="T244" t="s">
        <v>515</v>
      </c>
      <c r="V244" s="1"/>
      <c r="W244" s="1"/>
      <c r="X244" s="1"/>
      <c r="Y244" s="1"/>
      <c r="Z244" s="1"/>
      <c r="AA244" s="1"/>
      <c r="AB244" s="1"/>
      <c r="AC244" s="1" t="str">
        <f>INDEX(PT_DIFFERENTIATION_TER,MATCH(B244,PT_DIFFERENTIATION_TER_ID,0))</f>
        <v>Территория 12</v>
      </c>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t="s">
        <v>516</v>
      </c>
      <c r="CY244" t="str">
        <f t="shared" si="4"/>
        <v>Территория действия тарифа</v>
      </c>
      <c r="DB244">
        <v>0</v>
      </c>
    </row>
    <row r="245" spans="2:106" ht="23.25" customHeight="1" x14ac:dyDescent="0.15">
      <c r="C245" t="s">
        <v>376</v>
      </c>
      <c r="E245" s="1"/>
      <c r="F245" s="1" t="s">
        <v>150</v>
      </c>
      <c r="G245" s="1">
        <v>1</v>
      </c>
      <c r="S245" t="str">
        <f>INDEX(PT_DIFFERENTIATION_NUM_CS,MATCH(C245,PT_DIFFERENTIATION_CS_ID,0))</f>
        <v>1.12.1</v>
      </c>
      <c r="T245" t="s">
        <v>631</v>
      </c>
      <c r="V245" s="1"/>
      <c r="W245" s="1"/>
      <c r="X245" s="1"/>
      <c r="Y245" s="1"/>
      <c r="Z245" s="1"/>
      <c r="AA245" s="1"/>
      <c r="AB245" s="1"/>
      <c r="AC245" s="1" t="str">
        <f>INDEX(PT_DIFFERENTIATION_CS,MATCH(C245,PT_DIFFERENTIATION_CS_ID,0))</f>
        <v>ГО Спасск-Дальний</v>
      </c>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t="s">
        <v>632</v>
      </c>
      <c r="CY245" t="str">
        <f t="shared" si="4"/>
        <v>Наименование централизованной системы водоотведения</v>
      </c>
      <c r="DB245">
        <v>0</v>
      </c>
    </row>
    <row r="246" spans="2:106" ht="23.25" customHeight="1" x14ac:dyDescent="0.15">
      <c r="E246" s="1"/>
      <c r="F246" s="1" t="s">
        <v>150</v>
      </c>
      <c r="G246" s="1"/>
      <c r="H246" s="1"/>
      <c r="I246" s="1" t="str">
        <f>S245&amp;".1"</f>
        <v>1.12.1.1</v>
      </c>
      <c r="P246" s="1">
        <v>1</v>
      </c>
      <c r="S246" t="str">
        <f>$I246</f>
        <v>1.12.1.1</v>
      </c>
      <c r="T246" t="s">
        <v>598</v>
      </c>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t="s">
        <v>599</v>
      </c>
      <c r="CY246" t="str">
        <f t="shared" si="4"/>
        <v>Наименование признака дифференциации</v>
      </c>
      <c r="DB246">
        <v>0</v>
      </c>
    </row>
    <row r="247" spans="2:106" ht="23.25" customHeight="1" x14ac:dyDescent="0.15">
      <c r="E247" s="1"/>
      <c r="F247" s="1" t="s">
        <v>150</v>
      </c>
      <c r="G247" s="1"/>
      <c r="H247" s="1"/>
      <c r="I247" s="1"/>
      <c r="J247" s="1" t="str">
        <f>I246&amp;".1"</f>
        <v>1.12.1.1.1</v>
      </c>
      <c r="L247" t="s">
        <v>524</v>
      </c>
      <c r="P247" s="1"/>
      <c r="Q247" s="1">
        <v>1</v>
      </c>
      <c r="S247" t="str">
        <f>$J247</f>
        <v>1.12.1.1.1</v>
      </c>
      <c r="T247" t="s">
        <v>525</v>
      </c>
      <c r="V247" s="1"/>
      <c r="W247" s="1"/>
      <c r="X247" s="1"/>
      <c r="Y247" s="1"/>
      <c r="Z247" s="1"/>
      <c r="AA247" s="1"/>
      <c r="AB247" s="1"/>
      <c r="AC247" s="1" t="s">
        <v>636</v>
      </c>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t="s">
        <v>600</v>
      </c>
      <c r="CY247" t="str">
        <f t="shared" si="4"/>
        <v>Группа потребителей</v>
      </c>
      <c r="DB247">
        <v>0</v>
      </c>
    </row>
    <row r="248" spans="2:106" ht="23.25" customHeight="1" x14ac:dyDescent="0.15">
      <c r="E248" s="1"/>
      <c r="F248" s="1" t="s">
        <v>150</v>
      </c>
      <c r="G248" s="1"/>
      <c r="H248" s="1"/>
      <c r="I248" s="1"/>
      <c r="J248" s="1"/>
      <c r="K248" s="1" t="str">
        <f>J247&amp;".1"</f>
        <v>1.12.1.1.1.1</v>
      </c>
      <c r="P248" s="1"/>
      <c r="Q248" s="1"/>
      <c r="R248">
        <v>1</v>
      </c>
      <c r="S248" t="str">
        <f>$K248</f>
        <v>1.12.1.1.1.1</v>
      </c>
      <c r="Y248" s="1"/>
      <c r="Z248" s="1" t="s">
        <v>63</v>
      </c>
      <c r="AA248" s="1"/>
      <c r="AB248" s="1" t="s">
        <v>63</v>
      </c>
      <c r="AC248">
        <v>28.03</v>
      </c>
      <c r="AF248" s="1">
        <v>45292.449756944443</v>
      </c>
      <c r="AG248" s="1" t="s">
        <v>63</v>
      </c>
      <c r="AH248" s="1">
        <v>45473.449895833335</v>
      </c>
      <c r="AI248" s="1" t="s">
        <v>63</v>
      </c>
      <c r="AJ248">
        <v>36.43</v>
      </c>
      <c r="AM248" s="1">
        <v>45474.45008101852</v>
      </c>
      <c r="AN248" s="1" t="s">
        <v>63</v>
      </c>
      <c r="AO248" s="1">
        <v>45657.450208333335</v>
      </c>
      <c r="AP248" s="1" t="s">
        <v>63</v>
      </c>
      <c r="AQ248">
        <v>36.43</v>
      </c>
      <c r="AT248" s="1">
        <v>45658.450370370374</v>
      </c>
      <c r="AU248" s="1" t="s">
        <v>63</v>
      </c>
      <c r="AV248" s="1">
        <v>45838.45045138889</v>
      </c>
      <c r="AW248" s="1" t="s">
        <v>63</v>
      </c>
      <c r="AX248">
        <v>43.76</v>
      </c>
      <c r="BA248" s="1">
        <v>45839.451840277776</v>
      </c>
      <c r="BB248" s="1" t="s">
        <v>63</v>
      </c>
      <c r="BC248" s="1">
        <v>46022.452048611114</v>
      </c>
      <c r="BD248" s="1" t="s">
        <v>63</v>
      </c>
      <c r="BE248">
        <v>43.76</v>
      </c>
      <c r="BH248" s="1">
        <v>46023.452268518522</v>
      </c>
      <c r="BI248" s="1" t="s">
        <v>63</v>
      </c>
      <c r="BJ248" s="1">
        <v>46203.452418981484</v>
      </c>
      <c r="BK248" s="1" t="s">
        <v>63</v>
      </c>
      <c r="BL248">
        <v>43.98</v>
      </c>
      <c r="BO248" s="1">
        <v>46204.452627314815</v>
      </c>
      <c r="BP248" s="1" t="s">
        <v>63</v>
      </c>
      <c r="BQ248" s="1">
        <v>46387.452835648146</v>
      </c>
      <c r="BR248" s="1" t="s">
        <v>63</v>
      </c>
      <c r="BS248">
        <v>43.98</v>
      </c>
      <c r="BV248" s="1">
        <v>46388.453402777777</v>
      </c>
      <c r="BW248" s="1" t="s">
        <v>63</v>
      </c>
      <c r="BX248" s="1">
        <v>46568.453622685185</v>
      </c>
      <c r="BY248" s="1" t="s">
        <v>63</v>
      </c>
      <c r="BZ248">
        <v>44.2</v>
      </c>
      <c r="CC248" s="1">
        <v>46569.453958333332</v>
      </c>
      <c r="CD248" s="1" t="s">
        <v>63</v>
      </c>
      <c r="CE248" s="1">
        <v>46752.454432870371</v>
      </c>
      <c r="CF248" s="1" t="s">
        <v>63</v>
      </c>
      <c r="CG248">
        <v>44.2</v>
      </c>
      <c r="CJ248" s="1">
        <v>46753.454664351855</v>
      </c>
      <c r="CK248" s="1" t="s">
        <v>63</v>
      </c>
      <c r="CL248" s="1">
        <v>46934.45484953704</v>
      </c>
      <c r="CM248" s="1" t="s">
        <v>63</v>
      </c>
      <c r="CN248">
        <v>53.45</v>
      </c>
      <c r="CQ248" s="1">
        <v>46935.45511574074</v>
      </c>
      <c r="CR248" s="1" t="s">
        <v>63</v>
      </c>
      <c r="CS248" s="1">
        <v>47118.455347222225</v>
      </c>
      <c r="CT248" s="1" t="s">
        <v>63</v>
      </c>
      <c r="CV24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48" t="e">
        <f ca="1">STRCHECKDATE(V249:CU249)</f>
        <v>#NAME?</v>
      </c>
      <c r="CY248" t="str">
        <f t="shared" si="4"/>
        <v/>
      </c>
      <c r="DB248">
        <v>0</v>
      </c>
    </row>
    <row r="249" spans="2:106" ht="14.25" customHeight="1" x14ac:dyDescent="0.15">
      <c r="E249" s="1"/>
      <c r="F249" s="1" t="s">
        <v>150</v>
      </c>
      <c r="G249" s="1"/>
      <c r="H249" s="1"/>
      <c r="I249" s="1"/>
      <c r="J249" s="1"/>
      <c r="K249" s="1"/>
      <c r="P249" s="1"/>
      <c r="Q249" s="1"/>
      <c r="X249" t="str">
        <f>Y248&amp;"-"&amp;AA248</f>
        <v>-</v>
      </c>
      <c r="Y249" s="1"/>
      <c r="Z249" s="1"/>
      <c r="AA249" s="1"/>
      <c r="AB249" s="1"/>
      <c r="AE249" t="str">
        <f>AF248&amp;"-"&amp;AH248</f>
        <v>45292,4497569444-45473,4498958333</v>
      </c>
      <c r="AF249" s="1"/>
      <c r="AG249" s="1"/>
      <c r="AH249" s="1"/>
      <c r="AI249" s="1"/>
      <c r="AL249" t="str">
        <f>AM248&amp;"-"&amp;AO248</f>
        <v>45474,4500810185-45657,4502083333</v>
      </c>
      <c r="AM249" s="1"/>
      <c r="AN249" s="1"/>
      <c r="AO249" s="1"/>
      <c r="AP249" s="1"/>
      <c r="AS249" t="str">
        <f>AT248&amp;"-"&amp;AV248</f>
        <v>45658,4503703704-45838,4504513889</v>
      </c>
      <c r="AT249" s="1"/>
      <c r="AU249" s="1"/>
      <c r="AV249" s="1"/>
      <c r="AW249" s="1"/>
      <c r="AZ249" t="str">
        <f>BA248&amp;"-"&amp;BC248</f>
        <v>45839,4518402778-46022,4520486111</v>
      </c>
      <c r="BA249" s="1"/>
      <c r="BB249" s="1"/>
      <c r="BC249" s="1"/>
      <c r="BD249" s="1"/>
      <c r="BG249" t="str">
        <f>BH248&amp;"-"&amp;BJ248</f>
        <v>46023,4522685185-46203,4524189815</v>
      </c>
      <c r="BH249" s="1"/>
      <c r="BI249" s="1"/>
      <c r="BJ249" s="1"/>
      <c r="BK249" s="1"/>
      <c r="BN249" t="str">
        <f>BO248&amp;"-"&amp;BQ248</f>
        <v>46204,4526273148-46387,4528356481</v>
      </c>
      <c r="BO249" s="1"/>
      <c r="BP249" s="1"/>
      <c r="BQ249" s="1"/>
      <c r="BR249" s="1"/>
      <c r="BU249" t="str">
        <f>BV248&amp;"-"&amp;BX248</f>
        <v>46388,4534027778-46568,4536226852</v>
      </c>
      <c r="BV249" s="1"/>
      <c r="BW249" s="1"/>
      <c r="BX249" s="1"/>
      <c r="BY249" s="1"/>
      <c r="CB249" t="str">
        <f>CC248&amp;"-"&amp;CE248</f>
        <v>46569,4539583333-46752,4544328704</v>
      </c>
      <c r="CC249" s="1"/>
      <c r="CD249" s="1"/>
      <c r="CE249" s="1"/>
      <c r="CF249" s="1"/>
      <c r="CI249" t="str">
        <f>CJ248&amp;"-"&amp;CL248</f>
        <v>46753,4546643519-46934,454849537</v>
      </c>
      <c r="CJ249" s="1"/>
      <c r="CK249" s="1"/>
      <c r="CL249" s="1"/>
      <c r="CM249" s="1"/>
      <c r="CP249" t="str">
        <f>CQ248&amp;"-"&amp;CS248</f>
        <v>46935,4551157407-47118,4553472222</v>
      </c>
      <c r="CQ249" s="1"/>
      <c r="CR249" s="1"/>
      <c r="CS249" s="1"/>
      <c r="CT249" s="1"/>
      <c r="CV249" s="1"/>
      <c r="CY249" t="str">
        <f t="shared" si="4"/>
        <v/>
      </c>
      <c r="DB249">
        <v>0</v>
      </c>
    </row>
    <row r="250" spans="2:106" ht="21" customHeight="1" x14ac:dyDescent="0.15">
      <c r="E250" s="1"/>
      <c r="F250" s="1" t="s">
        <v>150</v>
      </c>
      <c r="G250" s="1"/>
      <c r="H250" s="1"/>
      <c r="I250" s="1"/>
      <c r="J250" s="1"/>
      <c r="P250" s="1"/>
      <c r="Q250" s="1"/>
      <c r="T250" t="s">
        <v>601</v>
      </c>
      <c r="CV250" t="s">
        <v>602</v>
      </c>
      <c r="CY250" t="str">
        <f t="shared" si="4"/>
        <v>Добавить значение признака дифференциации</v>
      </c>
      <c r="DB250">
        <v>0</v>
      </c>
    </row>
    <row r="251" spans="2:106" ht="23.25" customHeight="1" x14ac:dyDescent="0.15">
      <c r="E251" s="1"/>
      <c r="F251" s="1"/>
      <c r="G251" s="1"/>
      <c r="H251" s="1"/>
      <c r="I251" s="1"/>
      <c r="J251" s="1" t="str">
        <f>I246&amp;".2"</f>
        <v>1.12.1.1.2</v>
      </c>
      <c r="L251" t="s">
        <v>524</v>
      </c>
      <c r="P251" s="1"/>
      <c r="Q251" s="1" t="s">
        <v>106</v>
      </c>
      <c r="S251" t="str">
        <f>$J251</f>
        <v>1.12.1.1.2</v>
      </c>
      <c r="T251" t="s">
        <v>525</v>
      </c>
      <c r="V251" s="1"/>
      <c r="W251" s="1"/>
      <c r="X251" s="1"/>
      <c r="Y251" s="1"/>
      <c r="Z251" s="1"/>
      <c r="AA251" s="1"/>
      <c r="AB251" s="1"/>
      <c r="AC251" s="1" t="s">
        <v>637</v>
      </c>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t="s">
        <v>600</v>
      </c>
      <c r="CY251" t="str">
        <f t="shared" si="4"/>
        <v>Группа потребителей</v>
      </c>
      <c r="DB251">
        <v>0</v>
      </c>
    </row>
    <row r="252" spans="2:106" ht="23.25" customHeight="1" x14ac:dyDescent="0.15">
      <c r="E252" s="1"/>
      <c r="F252" s="1"/>
      <c r="G252" s="1"/>
      <c r="H252" s="1"/>
      <c r="I252" s="1"/>
      <c r="J252" s="1" t="str">
        <f>I246&amp;".1"</f>
        <v>1.12.1.1.1</v>
      </c>
      <c r="K252" s="1" t="str">
        <f>J251&amp;".1"</f>
        <v>1.12.1.1.2.1</v>
      </c>
      <c r="P252" s="1"/>
      <c r="Q252" s="1"/>
      <c r="R252">
        <v>1</v>
      </c>
      <c r="S252" t="str">
        <f>$K252</f>
        <v>1.12.1.1.2.1</v>
      </c>
      <c r="Y252" s="1"/>
      <c r="Z252" s="1" t="s">
        <v>63</v>
      </c>
      <c r="AA252" s="1"/>
      <c r="AB252" s="1" t="s">
        <v>63</v>
      </c>
      <c r="AC252">
        <v>23.36</v>
      </c>
      <c r="AF252" s="1">
        <v>45292.449826388889</v>
      </c>
      <c r="AG252" s="1" t="s">
        <v>63</v>
      </c>
      <c r="AH252" s="1">
        <v>45473.449953703705</v>
      </c>
      <c r="AI252" s="1" t="s">
        <v>63</v>
      </c>
      <c r="AJ252">
        <v>30.36</v>
      </c>
      <c r="AM252" s="1">
        <v>45474.450150462966</v>
      </c>
      <c r="AN252" s="1" t="s">
        <v>63</v>
      </c>
      <c r="AO252" s="1">
        <v>45657.450254629628</v>
      </c>
      <c r="AP252" s="1" t="s">
        <v>63</v>
      </c>
      <c r="AQ252">
        <v>30.36</v>
      </c>
      <c r="AT252" s="1">
        <v>45658.450416666667</v>
      </c>
      <c r="AU252" s="1" t="s">
        <v>63</v>
      </c>
      <c r="AV252" s="1">
        <v>45838.450520833336</v>
      </c>
      <c r="AW252" s="1" t="s">
        <v>63</v>
      </c>
      <c r="AX252">
        <v>36.47</v>
      </c>
      <c r="BA252" s="1">
        <v>45839.451956018522</v>
      </c>
      <c r="BB252" s="1" t="s">
        <v>63</v>
      </c>
      <c r="BC252" s="1">
        <v>46022.452118055553</v>
      </c>
      <c r="BD252" s="1" t="s">
        <v>63</v>
      </c>
      <c r="BE252">
        <v>36.47</v>
      </c>
      <c r="BH252" s="1">
        <v>46023.452361111114</v>
      </c>
      <c r="BI252" s="1" t="s">
        <v>63</v>
      </c>
      <c r="BJ252" s="1">
        <v>46203.452534722222</v>
      </c>
      <c r="BK252" s="1" t="s">
        <v>63</v>
      </c>
      <c r="BL252">
        <v>36.65</v>
      </c>
      <c r="BO252" s="1">
        <v>46204.452731481484</v>
      </c>
      <c r="BP252" s="1" t="s">
        <v>63</v>
      </c>
      <c r="BQ252" s="1">
        <v>46387.452905092592</v>
      </c>
      <c r="BR252" s="1" t="s">
        <v>63</v>
      </c>
      <c r="BS252">
        <v>36.65</v>
      </c>
      <c r="BV252" s="1">
        <v>46388.453541666669</v>
      </c>
      <c r="BW252" s="1" t="s">
        <v>63</v>
      </c>
      <c r="BX252" s="1">
        <v>46568.453784722224</v>
      </c>
      <c r="BY252" s="1" t="s">
        <v>63</v>
      </c>
      <c r="BZ252">
        <v>36.83</v>
      </c>
      <c r="CC252" s="1">
        <v>46569.454062500001</v>
      </c>
      <c r="CD252" s="1" t="s">
        <v>63</v>
      </c>
      <c r="CE252" s="1">
        <v>46752.454513888886</v>
      </c>
      <c r="CF252" s="1" t="s">
        <v>63</v>
      </c>
      <c r="CG252">
        <v>36.83</v>
      </c>
      <c r="CJ252" s="1">
        <v>46753.454768518517</v>
      </c>
      <c r="CK252" s="1" t="s">
        <v>63</v>
      </c>
      <c r="CL252" s="1">
        <v>46934.454942129632</v>
      </c>
      <c r="CM252" s="1" t="s">
        <v>63</v>
      </c>
      <c r="CN252">
        <v>44.54</v>
      </c>
      <c r="CQ252" s="1">
        <v>46935.455243055556</v>
      </c>
      <c r="CR252" s="1" t="s">
        <v>63</v>
      </c>
      <c r="CS252" s="1">
        <v>47118.455416666664</v>
      </c>
      <c r="CT252" s="1" t="s">
        <v>63</v>
      </c>
      <c r="CV25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52" t="e">
        <f ca="1">STRCHECKDATE(V253:CU253)</f>
        <v>#NAME?</v>
      </c>
      <c r="CY252" t="str">
        <f t="shared" si="4"/>
        <v/>
      </c>
      <c r="DB252">
        <v>0</v>
      </c>
    </row>
    <row r="253" spans="2:106" ht="14.25" customHeight="1" x14ac:dyDescent="0.15">
      <c r="E253" s="1"/>
      <c r="F253" s="1"/>
      <c r="G253" s="1"/>
      <c r="H253" s="1"/>
      <c r="I253" s="1"/>
      <c r="J253" s="1" t="str">
        <f>I246&amp;".1"</f>
        <v>1.12.1.1.1</v>
      </c>
      <c r="K253" s="1"/>
      <c r="P253" s="1"/>
      <c r="Q253" s="1"/>
      <c r="X253" t="str">
        <f>Y252&amp;"-"&amp;AA252</f>
        <v>-</v>
      </c>
      <c r="Y253" s="1"/>
      <c r="Z253" s="1"/>
      <c r="AA253" s="1"/>
      <c r="AB253" s="1"/>
      <c r="AE253" t="str">
        <f>AF252&amp;"-"&amp;AH252</f>
        <v>45292,4498263889-45473,4499537037</v>
      </c>
      <c r="AF253" s="1"/>
      <c r="AG253" s="1"/>
      <c r="AH253" s="1"/>
      <c r="AI253" s="1"/>
      <c r="AL253" t="str">
        <f>AM252&amp;"-"&amp;AO252</f>
        <v>45474,450150463-45657,4502546296</v>
      </c>
      <c r="AM253" s="1"/>
      <c r="AN253" s="1"/>
      <c r="AO253" s="1"/>
      <c r="AP253" s="1"/>
      <c r="AS253" t="str">
        <f>AT252&amp;"-"&amp;AV252</f>
        <v>45658,4504166667-45838,4505208333</v>
      </c>
      <c r="AT253" s="1"/>
      <c r="AU253" s="1"/>
      <c r="AV253" s="1"/>
      <c r="AW253" s="1"/>
      <c r="AZ253" t="str">
        <f>BA252&amp;"-"&amp;BC252</f>
        <v>45839,4519560185-46022,4521180556</v>
      </c>
      <c r="BA253" s="1"/>
      <c r="BB253" s="1"/>
      <c r="BC253" s="1"/>
      <c r="BD253" s="1"/>
      <c r="BG253" t="str">
        <f>BH252&amp;"-"&amp;BJ252</f>
        <v>46023,4523611111-46203,4525347222</v>
      </c>
      <c r="BH253" s="1"/>
      <c r="BI253" s="1"/>
      <c r="BJ253" s="1"/>
      <c r="BK253" s="1"/>
      <c r="BN253" t="str">
        <f>BO252&amp;"-"&amp;BQ252</f>
        <v>46204,4527314815-46387,4529050926</v>
      </c>
      <c r="BO253" s="1"/>
      <c r="BP253" s="1"/>
      <c r="BQ253" s="1"/>
      <c r="BR253" s="1"/>
      <c r="BU253" t="str">
        <f>BV252&amp;"-"&amp;BX252</f>
        <v>46388,4535416667-46568,4537847222</v>
      </c>
      <c r="BV253" s="1"/>
      <c r="BW253" s="1"/>
      <c r="BX253" s="1"/>
      <c r="BY253" s="1"/>
      <c r="CB253" t="str">
        <f>CC252&amp;"-"&amp;CE252</f>
        <v>46569,4540625-46752,4545138889</v>
      </c>
      <c r="CC253" s="1"/>
      <c r="CD253" s="1"/>
      <c r="CE253" s="1"/>
      <c r="CF253" s="1"/>
      <c r="CI253" t="str">
        <f>CJ252&amp;"-"&amp;CL252</f>
        <v>46753,4547685185-46934,4549421296</v>
      </c>
      <c r="CJ253" s="1"/>
      <c r="CK253" s="1"/>
      <c r="CL253" s="1"/>
      <c r="CM253" s="1"/>
      <c r="CP253" t="str">
        <f>CQ252&amp;"-"&amp;CS252</f>
        <v>46935,4552430556-47118,4554166667</v>
      </c>
      <c r="CQ253" s="1"/>
      <c r="CR253" s="1"/>
      <c r="CS253" s="1"/>
      <c r="CT253" s="1"/>
      <c r="CV253" s="1"/>
      <c r="CY253" t="str">
        <f t="shared" si="4"/>
        <v/>
      </c>
      <c r="DB253">
        <v>0</v>
      </c>
    </row>
    <row r="254" spans="2:106" ht="21" customHeight="1" x14ac:dyDescent="0.15">
      <c r="E254" s="1"/>
      <c r="F254" s="1"/>
      <c r="G254" s="1"/>
      <c r="H254" s="1"/>
      <c r="I254" s="1"/>
      <c r="J254" s="1" t="str">
        <f>I246&amp;".1"</f>
        <v>1.12.1.1.1</v>
      </c>
      <c r="P254" s="1"/>
      <c r="Q254" s="1"/>
      <c r="T254" t="s">
        <v>601</v>
      </c>
      <c r="CV254" t="s">
        <v>602</v>
      </c>
      <c r="CY254" t="str">
        <f t="shared" si="4"/>
        <v>Добавить значение признака дифференциации</v>
      </c>
      <c r="DB254">
        <v>0</v>
      </c>
    </row>
    <row r="255" spans="2:106" ht="21" customHeight="1" x14ac:dyDescent="0.15">
      <c r="E255" s="1"/>
      <c r="F255" s="1" t="s">
        <v>150</v>
      </c>
      <c r="G255" s="1"/>
      <c r="H255" s="1"/>
      <c r="I255" s="1"/>
      <c r="P255" s="1"/>
      <c r="T255" t="s">
        <v>530</v>
      </c>
      <c r="CY255" t="str">
        <f t="shared" si="4"/>
        <v>Добавить группу потребителей</v>
      </c>
      <c r="DB255">
        <v>0</v>
      </c>
    </row>
    <row r="256" spans="2:106" ht="21" customHeight="1" x14ac:dyDescent="0.15">
      <c r="E256" s="1"/>
      <c r="F256" s="1" t="s">
        <v>150</v>
      </c>
      <c r="G256" s="1"/>
      <c r="H256" s="1"/>
      <c r="T256" t="s">
        <v>603</v>
      </c>
      <c r="CY256" t="str">
        <f t="shared" si="4"/>
        <v>Добавить наименование признака дифференциации</v>
      </c>
      <c r="DB256">
        <v>0</v>
      </c>
    </row>
    <row r="257" spans="2:106" ht="14.25" customHeight="1" x14ac:dyDescent="0.15">
      <c r="E257" s="1"/>
      <c r="F257" s="1" t="s">
        <v>150</v>
      </c>
      <c r="T257" t="s">
        <v>321</v>
      </c>
      <c r="CY257" t="str">
        <f t="shared" si="4"/>
        <v>Добавить централизованную систему для дифференциации</v>
      </c>
      <c r="DB257">
        <v>0</v>
      </c>
    </row>
    <row r="258" spans="2:106" ht="23.25" customHeight="1" x14ac:dyDescent="0.15">
      <c r="B258" t="s">
        <v>379</v>
      </c>
      <c r="E258" s="1"/>
      <c r="F258" s="1" t="s">
        <v>158</v>
      </c>
      <c r="S258" t="str">
        <f>INDEX(PT_DIFFERENTIATION_NUM_TER,MATCH(B258,PT_DIFFERENTIATION_TER_ID,0))</f>
        <v>1.13</v>
      </c>
      <c r="T258" t="s">
        <v>515</v>
      </c>
      <c r="V258" s="1"/>
      <c r="W258" s="1"/>
      <c r="X258" s="1"/>
      <c r="Y258" s="1"/>
      <c r="Z258" s="1"/>
      <c r="AA258" s="1"/>
      <c r="AB258" s="1"/>
      <c r="AC258" s="1" t="str">
        <f>INDEX(PT_DIFFERENTIATION_TER,MATCH(B258,PT_DIFFERENTIATION_TER_ID,0))</f>
        <v>Территория 13</v>
      </c>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t="s">
        <v>516</v>
      </c>
      <c r="CY258" t="str">
        <f t="shared" si="4"/>
        <v>Территория действия тарифа</v>
      </c>
      <c r="DB258">
        <v>0</v>
      </c>
    </row>
    <row r="259" spans="2:106" ht="23.25" customHeight="1" x14ac:dyDescent="0.15">
      <c r="C259" t="s">
        <v>380</v>
      </c>
      <c r="E259" s="1"/>
      <c r="F259" s="1" t="s">
        <v>154</v>
      </c>
      <c r="G259" s="1">
        <v>1</v>
      </c>
      <c r="S259" t="str">
        <f>INDEX(PT_DIFFERENTIATION_NUM_CS,MATCH(C259,PT_DIFFERENTIATION_CS_ID,0))</f>
        <v>1.13.1</v>
      </c>
      <c r="T259" t="s">
        <v>631</v>
      </c>
      <c r="V259" s="1"/>
      <c r="W259" s="1"/>
      <c r="X259" s="1"/>
      <c r="Y259" s="1"/>
      <c r="Z259" s="1"/>
      <c r="AA259" s="1"/>
      <c r="AB259" s="1"/>
      <c r="AC259" s="1" t="str">
        <f>INDEX(PT_DIFFERENTIATION_CS,MATCH(C259,PT_DIFFERENTIATION_CS_ID,0))</f>
        <v>ГО ЗАТО г. Фокино</v>
      </c>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t="s">
        <v>632</v>
      </c>
      <c r="CY259" t="str">
        <f t="shared" si="4"/>
        <v>Наименование централизованной системы водоотведения</v>
      </c>
      <c r="DB259">
        <v>0</v>
      </c>
    </row>
    <row r="260" spans="2:106" ht="23.25" customHeight="1" x14ac:dyDescent="0.15">
      <c r="E260" s="1"/>
      <c r="F260" s="1" t="s">
        <v>154</v>
      </c>
      <c r="G260" s="1"/>
      <c r="H260" s="1"/>
      <c r="I260" s="1" t="str">
        <f>S259&amp;".1"</f>
        <v>1.13.1.1</v>
      </c>
      <c r="P260" s="1">
        <v>1</v>
      </c>
      <c r="S260" t="str">
        <f>$I260</f>
        <v>1.13.1.1</v>
      </c>
      <c r="T260" t="s">
        <v>598</v>
      </c>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t="s">
        <v>599</v>
      </c>
      <c r="CY260" t="str">
        <f t="shared" si="4"/>
        <v>Наименование признака дифференциации</v>
      </c>
      <c r="DB260">
        <v>0</v>
      </c>
    </row>
    <row r="261" spans="2:106" ht="23.25" customHeight="1" x14ac:dyDescent="0.15">
      <c r="E261" s="1"/>
      <c r="F261" s="1" t="s">
        <v>154</v>
      </c>
      <c r="G261" s="1"/>
      <c r="H261" s="1"/>
      <c r="I261" s="1"/>
      <c r="J261" s="1" t="str">
        <f>I260&amp;".1"</f>
        <v>1.13.1.1.1</v>
      </c>
      <c r="L261" t="s">
        <v>524</v>
      </c>
      <c r="P261" s="1"/>
      <c r="Q261" s="1">
        <v>1</v>
      </c>
      <c r="S261" t="str">
        <f>$J261</f>
        <v>1.13.1.1.1</v>
      </c>
      <c r="T261" t="s">
        <v>525</v>
      </c>
      <c r="V261" s="1"/>
      <c r="W261" s="1"/>
      <c r="X261" s="1"/>
      <c r="Y261" s="1"/>
      <c r="Z261" s="1"/>
      <c r="AA261" s="1"/>
      <c r="AB261" s="1"/>
      <c r="AC261" s="1" t="s">
        <v>636</v>
      </c>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t="s">
        <v>600</v>
      </c>
      <c r="CY261" t="str">
        <f t="shared" si="4"/>
        <v>Группа потребителей</v>
      </c>
      <c r="DB261">
        <v>0</v>
      </c>
    </row>
    <row r="262" spans="2:106" ht="23.25" customHeight="1" x14ac:dyDescent="0.15">
      <c r="E262" s="1"/>
      <c r="F262" s="1" t="s">
        <v>154</v>
      </c>
      <c r="G262" s="1"/>
      <c r="H262" s="1"/>
      <c r="I262" s="1"/>
      <c r="J262" s="1"/>
      <c r="K262" s="1" t="str">
        <f>J261&amp;".1"</f>
        <v>1.13.1.1.1.1</v>
      </c>
      <c r="P262" s="1"/>
      <c r="Q262" s="1"/>
      <c r="R262">
        <v>1</v>
      </c>
      <c r="S262" t="str">
        <f>$K262</f>
        <v>1.13.1.1.1.1</v>
      </c>
      <c r="Y262" s="1"/>
      <c r="Z262" s="1" t="s">
        <v>63</v>
      </c>
      <c r="AA262" s="1"/>
      <c r="AB262" s="1" t="s">
        <v>63</v>
      </c>
      <c r="AC262">
        <v>22.27</v>
      </c>
      <c r="AF262" s="1">
        <v>45292.462395833332</v>
      </c>
      <c r="AG262" s="1" t="s">
        <v>63</v>
      </c>
      <c r="AH262" s="1">
        <v>45473.462523148148</v>
      </c>
      <c r="AI262" s="1" t="s">
        <v>63</v>
      </c>
      <c r="AJ262">
        <v>28.94</v>
      </c>
      <c r="AM262" s="1">
        <v>45474.462696759256</v>
      </c>
      <c r="AN262" s="1" t="s">
        <v>63</v>
      </c>
      <c r="AO262" s="1">
        <v>45657.462835648148</v>
      </c>
      <c r="AP262" s="1" t="s">
        <v>63</v>
      </c>
      <c r="AQ262">
        <v>28.94</v>
      </c>
      <c r="AT262" s="1">
        <v>45658.462916666664</v>
      </c>
      <c r="AU262" s="1" t="s">
        <v>63</v>
      </c>
      <c r="AV262" s="1">
        <v>45838.463078703702</v>
      </c>
      <c r="AW262" s="1" t="s">
        <v>63</v>
      </c>
      <c r="AX262">
        <v>35.99</v>
      </c>
      <c r="BA262" s="1">
        <v>45839.463263888887</v>
      </c>
      <c r="BB262" s="1" t="s">
        <v>63</v>
      </c>
      <c r="BC262" s="1">
        <v>46022.463402777779</v>
      </c>
      <c r="BD262" s="1" t="s">
        <v>63</v>
      </c>
      <c r="BE262">
        <v>35.99</v>
      </c>
      <c r="BH262" s="1">
        <v>46023.463680555556</v>
      </c>
      <c r="BI262" s="1" t="s">
        <v>63</v>
      </c>
      <c r="BJ262" s="1">
        <v>46203.463854166665</v>
      </c>
      <c r="BK262" s="1" t="s">
        <v>63</v>
      </c>
      <c r="BL262">
        <v>37.07</v>
      </c>
      <c r="BO262" s="1">
        <v>46204.464247685188</v>
      </c>
      <c r="BP262" s="1" t="s">
        <v>63</v>
      </c>
      <c r="BQ262" s="1">
        <v>46387.464456018519</v>
      </c>
      <c r="BR262" s="1" t="s">
        <v>63</v>
      </c>
      <c r="BS262">
        <v>32.880000000000003</v>
      </c>
      <c r="BV262" s="1">
        <v>46388.464641203704</v>
      </c>
      <c r="BW262" s="1" t="s">
        <v>63</v>
      </c>
      <c r="BX262" s="1">
        <v>46568.464814814812</v>
      </c>
      <c r="BY262" s="1" t="s">
        <v>63</v>
      </c>
      <c r="BZ262">
        <v>32.92</v>
      </c>
      <c r="CC262" s="1">
        <v>46569.465300925927</v>
      </c>
      <c r="CD262" s="1" t="s">
        <v>63</v>
      </c>
      <c r="CE262" s="1">
        <v>46752.465509259258</v>
      </c>
      <c r="CF262" s="1" t="s">
        <v>63</v>
      </c>
      <c r="CG262">
        <v>32.92</v>
      </c>
      <c r="CJ262" s="1">
        <v>46753.465717592589</v>
      </c>
      <c r="CK262" s="1" t="s">
        <v>63</v>
      </c>
      <c r="CL262" s="1">
        <v>46934.466006944444</v>
      </c>
      <c r="CM262" s="1" t="s">
        <v>63</v>
      </c>
      <c r="CN262">
        <v>34.909999999999997</v>
      </c>
      <c r="CQ262" s="1">
        <v>46935.466354166667</v>
      </c>
      <c r="CR262" s="1" t="s">
        <v>63</v>
      </c>
      <c r="CS262" s="1">
        <v>47118.466539351852</v>
      </c>
      <c r="CT262" s="1" t="s">
        <v>63</v>
      </c>
      <c r="CV262"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62" t="e">
        <f ca="1">STRCHECKDATE(V263:CU263)</f>
        <v>#NAME?</v>
      </c>
      <c r="CY262" t="str">
        <f t="shared" si="4"/>
        <v/>
      </c>
      <c r="DB262">
        <v>0</v>
      </c>
    </row>
    <row r="263" spans="2:106" ht="14.25" customHeight="1" x14ac:dyDescent="0.15">
      <c r="E263" s="1"/>
      <c r="F263" s="1" t="s">
        <v>154</v>
      </c>
      <c r="G263" s="1"/>
      <c r="H263" s="1"/>
      <c r="I263" s="1"/>
      <c r="J263" s="1"/>
      <c r="K263" s="1"/>
      <c r="P263" s="1"/>
      <c r="Q263" s="1"/>
      <c r="X263" t="str">
        <f>Y262&amp;"-"&amp;AA262</f>
        <v>-</v>
      </c>
      <c r="Y263" s="1"/>
      <c r="Z263" s="1"/>
      <c r="AA263" s="1"/>
      <c r="AB263" s="1"/>
      <c r="AE263" t="str">
        <f>AF262&amp;"-"&amp;AH262</f>
        <v>45292,4623958333-45473,4625231481</v>
      </c>
      <c r="AF263" s="1"/>
      <c r="AG263" s="1"/>
      <c r="AH263" s="1"/>
      <c r="AI263" s="1"/>
      <c r="AL263" t="str">
        <f>AM262&amp;"-"&amp;AO262</f>
        <v>45474,4626967593-45657,4628356481</v>
      </c>
      <c r="AM263" s="1"/>
      <c r="AN263" s="1"/>
      <c r="AO263" s="1"/>
      <c r="AP263" s="1"/>
      <c r="AS263" t="str">
        <f>AT262&amp;"-"&amp;AV262</f>
        <v>45658,4629166667-45838,4630787037</v>
      </c>
      <c r="AT263" s="1"/>
      <c r="AU263" s="1"/>
      <c r="AV263" s="1"/>
      <c r="AW263" s="1"/>
      <c r="AZ263" t="str">
        <f>BA262&amp;"-"&amp;BC262</f>
        <v>45839,4632638889-46022,4634027778</v>
      </c>
      <c r="BA263" s="1"/>
      <c r="BB263" s="1"/>
      <c r="BC263" s="1"/>
      <c r="BD263" s="1"/>
      <c r="BG263" t="str">
        <f>BH262&amp;"-"&amp;BJ262</f>
        <v>46023,4636805556-46203,4638541667</v>
      </c>
      <c r="BH263" s="1"/>
      <c r="BI263" s="1"/>
      <c r="BJ263" s="1"/>
      <c r="BK263" s="1"/>
      <c r="BN263" t="str">
        <f>BO262&amp;"-"&amp;BQ262</f>
        <v>46204,4642476852-46387,4644560185</v>
      </c>
      <c r="BO263" s="1"/>
      <c r="BP263" s="1"/>
      <c r="BQ263" s="1"/>
      <c r="BR263" s="1"/>
      <c r="BU263" t="str">
        <f>BV262&amp;"-"&amp;BX262</f>
        <v>46388,4646412037-46568,4648148148</v>
      </c>
      <c r="BV263" s="1"/>
      <c r="BW263" s="1"/>
      <c r="BX263" s="1"/>
      <c r="BY263" s="1"/>
      <c r="CB263" t="str">
        <f>CC262&amp;"-"&amp;CE262</f>
        <v>46569,4653009259-46752,4655092593</v>
      </c>
      <c r="CC263" s="1"/>
      <c r="CD263" s="1"/>
      <c r="CE263" s="1"/>
      <c r="CF263" s="1"/>
      <c r="CI263" t="str">
        <f>CJ262&amp;"-"&amp;CL262</f>
        <v>46753,4657175926-46934,4660069444</v>
      </c>
      <c r="CJ263" s="1"/>
      <c r="CK263" s="1"/>
      <c r="CL263" s="1"/>
      <c r="CM263" s="1"/>
      <c r="CP263" t="str">
        <f>CQ262&amp;"-"&amp;CS262</f>
        <v>46935,4663541667-47118,4665393519</v>
      </c>
      <c r="CQ263" s="1"/>
      <c r="CR263" s="1"/>
      <c r="CS263" s="1"/>
      <c r="CT263" s="1"/>
      <c r="CV263" s="1"/>
      <c r="CY263" t="str">
        <f t="shared" si="4"/>
        <v/>
      </c>
      <c r="DB263">
        <v>0</v>
      </c>
    </row>
    <row r="264" spans="2:106" ht="21" customHeight="1" x14ac:dyDescent="0.15">
      <c r="E264" s="1"/>
      <c r="F264" s="1" t="s">
        <v>154</v>
      </c>
      <c r="G264" s="1"/>
      <c r="H264" s="1"/>
      <c r="I264" s="1"/>
      <c r="J264" s="1"/>
      <c r="P264" s="1"/>
      <c r="Q264" s="1"/>
      <c r="T264" t="s">
        <v>601</v>
      </c>
      <c r="CV264" t="s">
        <v>602</v>
      </c>
      <c r="CY264" t="str">
        <f t="shared" si="4"/>
        <v>Добавить значение признака дифференциации</v>
      </c>
      <c r="DB264">
        <v>0</v>
      </c>
    </row>
    <row r="265" spans="2:106" ht="23.25" customHeight="1" x14ac:dyDescent="0.15">
      <c r="E265" s="1"/>
      <c r="F265" s="1"/>
      <c r="G265" s="1"/>
      <c r="H265" s="1"/>
      <c r="I265" s="1"/>
      <c r="J265" s="1" t="str">
        <f>I260&amp;".2"</f>
        <v>1.13.1.1.2</v>
      </c>
      <c r="L265" t="s">
        <v>524</v>
      </c>
      <c r="P265" s="1"/>
      <c r="Q265" s="1" t="s">
        <v>106</v>
      </c>
      <c r="S265" t="str">
        <f>$J265</f>
        <v>1.13.1.1.2</v>
      </c>
      <c r="T265" t="s">
        <v>525</v>
      </c>
      <c r="V265" s="1"/>
      <c r="W265" s="1"/>
      <c r="X265" s="1"/>
      <c r="Y265" s="1"/>
      <c r="Z265" s="1"/>
      <c r="AA265" s="1"/>
      <c r="AB265" s="1"/>
      <c r="AC265" s="1" t="s">
        <v>637</v>
      </c>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t="s">
        <v>600</v>
      </c>
      <c r="CY265" t="str">
        <f t="shared" si="4"/>
        <v>Группа потребителей</v>
      </c>
      <c r="DB265">
        <v>0</v>
      </c>
    </row>
    <row r="266" spans="2:106" ht="23.25" customHeight="1" x14ac:dyDescent="0.15">
      <c r="E266" s="1"/>
      <c r="F266" s="1"/>
      <c r="G266" s="1"/>
      <c r="H266" s="1"/>
      <c r="I266" s="1"/>
      <c r="J266" s="1" t="str">
        <f>I260&amp;".1"</f>
        <v>1.13.1.1.1</v>
      </c>
      <c r="K266" s="1" t="str">
        <f>J265&amp;".1"</f>
        <v>1.13.1.1.2.1</v>
      </c>
      <c r="P266" s="1"/>
      <c r="Q266" s="1"/>
      <c r="R266">
        <v>1</v>
      </c>
      <c r="S266" t="str">
        <f>$K266</f>
        <v>1.13.1.1.2.1</v>
      </c>
      <c r="Y266" s="1"/>
      <c r="Z266" s="1" t="s">
        <v>63</v>
      </c>
      <c r="AA266" s="1"/>
      <c r="AB266" s="1" t="s">
        <v>63</v>
      </c>
      <c r="AC266">
        <v>18.559999999999999</v>
      </c>
      <c r="AF266" s="1">
        <v>45292.462453703702</v>
      </c>
      <c r="AG266" s="1" t="s">
        <v>63</v>
      </c>
      <c r="AH266" s="1">
        <v>45473.462592592594</v>
      </c>
      <c r="AI266" s="1" t="s">
        <v>63</v>
      </c>
      <c r="AJ266">
        <v>24.12</v>
      </c>
      <c r="AM266" s="1">
        <v>45474.462754629632</v>
      </c>
      <c r="AN266" s="1" t="s">
        <v>63</v>
      </c>
      <c r="AO266" s="1">
        <v>45657.462870370371</v>
      </c>
      <c r="AP266" s="1" t="s">
        <v>63</v>
      </c>
      <c r="AQ266">
        <v>24.12</v>
      </c>
      <c r="AT266" s="1">
        <v>45658.462951388887</v>
      </c>
      <c r="AU266" s="1" t="s">
        <v>63</v>
      </c>
      <c r="AV266" s="1">
        <v>45838.463171296295</v>
      </c>
      <c r="AW266" s="1" t="s">
        <v>63</v>
      </c>
      <c r="AX266">
        <v>29.99</v>
      </c>
      <c r="BA266" s="1">
        <v>45839.463333333333</v>
      </c>
      <c r="BB266" s="1" t="s">
        <v>63</v>
      </c>
      <c r="BC266" s="1">
        <v>46022.463541666664</v>
      </c>
      <c r="BD266" s="1" t="s">
        <v>63</v>
      </c>
      <c r="BE266">
        <v>29.99</v>
      </c>
      <c r="BH266" s="1">
        <v>46023.463773148149</v>
      </c>
      <c r="BI266" s="1" t="s">
        <v>63</v>
      </c>
      <c r="BJ266" s="1">
        <v>46203.463969907411</v>
      </c>
      <c r="BK266" s="1" t="s">
        <v>63</v>
      </c>
      <c r="BL266">
        <v>30.89</v>
      </c>
      <c r="BO266" s="1">
        <v>46204.46435185185</v>
      </c>
      <c r="BP266" s="1" t="s">
        <v>63</v>
      </c>
      <c r="BQ266" s="1">
        <v>46387.464525462965</v>
      </c>
      <c r="BR266" s="1" t="s">
        <v>63</v>
      </c>
      <c r="BS266">
        <v>27.4</v>
      </c>
      <c r="BV266" s="1">
        <v>46388.464733796296</v>
      </c>
      <c r="BW266" s="1" t="s">
        <v>63</v>
      </c>
      <c r="BX266" s="1">
        <v>46568.465057870373</v>
      </c>
      <c r="BY266" s="1" t="s">
        <v>63</v>
      </c>
      <c r="BZ266">
        <v>27.43</v>
      </c>
      <c r="CC266" s="1">
        <v>46569.465416666666</v>
      </c>
      <c r="CD266" s="1" t="s">
        <v>63</v>
      </c>
      <c r="CE266" s="1">
        <v>46752.465590277781</v>
      </c>
      <c r="CF266" s="1" t="s">
        <v>63</v>
      </c>
      <c r="CG266">
        <v>27.43</v>
      </c>
      <c r="CJ266" s="1">
        <v>46753.465856481482</v>
      </c>
      <c r="CK266" s="1" t="s">
        <v>63</v>
      </c>
      <c r="CL266" s="1">
        <v>46934.466134259259</v>
      </c>
      <c r="CM266" s="1" t="s">
        <v>63</v>
      </c>
      <c r="CN266">
        <v>29.09</v>
      </c>
      <c r="CQ266" s="1">
        <v>46935.466435185182</v>
      </c>
      <c r="CR266" s="1" t="s">
        <v>63</v>
      </c>
      <c r="CS266" s="1">
        <v>47118.466620370367</v>
      </c>
      <c r="CT266" s="1" t="s">
        <v>63</v>
      </c>
      <c r="CV26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66" t="e">
        <f ca="1">STRCHECKDATE(V267:CU267)</f>
        <v>#NAME?</v>
      </c>
      <c r="CY266" t="str">
        <f t="shared" si="4"/>
        <v/>
      </c>
      <c r="DB266">
        <v>0</v>
      </c>
    </row>
    <row r="267" spans="2:106" ht="14.25" customHeight="1" x14ac:dyDescent="0.15">
      <c r="E267" s="1"/>
      <c r="F267" s="1"/>
      <c r="G267" s="1"/>
      <c r="H267" s="1"/>
      <c r="I267" s="1"/>
      <c r="J267" s="1" t="str">
        <f>I260&amp;".1"</f>
        <v>1.13.1.1.1</v>
      </c>
      <c r="K267" s="1"/>
      <c r="P267" s="1"/>
      <c r="Q267" s="1"/>
      <c r="X267" t="str">
        <f>Y266&amp;"-"&amp;AA266</f>
        <v>-</v>
      </c>
      <c r="Y267" s="1"/>
      <c r="Z267" s="1"/>
      <c r="AA267" s="1"/>
      <c r="AB267" s="1"/>
      <c r="AE267" t="str">
        <f>AF266&amp;"-"&amp;AH266</f>
        <v>45292,4624537037-45473,4625925926</v>
      </c>
      <c r="AF267" s="1"/>
      <c r="AG267" s="1"/>
      <c r="AH267" s="1"/>
      <c r="AI267" s="1"/>
      <c r="AL267" t="str">
        <f>AM266&amp;"-"&amp;AO266</f>
        <v>45474,4627546296-45657,4628703704</v>
      </c>
      <c r="AM267" s="1"/>
      <c r="AN267" s="1"/>
      <c r="AO267" s="1"/>
      <c r="AP267" s="1"/>
      <c r="AS267" t="str">
        <f>AT266&amp;"-"&amp;AV266</f>
        <v>45658,4629513889-45838,4631712963</v>
      </c>
      <c r="AT267" s="1"/>
      <c r="AU267" s="1"/>
      <c r="AV267" s="1"/>
      <c r="AW267" s="1"/>
      <c r="AZ267" t="str">
        <f>BA266&amp;"-"&amp;BC266</f>
        <v>45839,4633333333-46022,4635416667</v>
      </c>
      <c r="BA267" s="1"/>
      <c r="BB267" s="1"/>
      <c r="BC267" s="1"/>
      <c r="BD267" s="1"/>
      <c r="BG267" t="str">
        <f>BH266&amp;"-"&amp;BJ266</f>
        <v>46023,4637731481-46203,4639699074</v>
      </c>
      <c r="BH267" s="1"/>
      <c r="BI267" s="1"/>
      <c r="BJ267" s="1"/>
      <c r="BK267" s="1"/>
      <c r="BN267" t="str">
        <f>BO266&amp;"-"&amp;BQ266</f>
        <v>46204,4643518518-46387,464525463</v>
      </c>
      <c r="BO267" s="1"/>
      <c r="BP267" s="1"/>
      <c r="BQ267" s="1"/>
      <c r="BR267" s="1"/>
      <c r="BU267" t="str">
        <f>BV266&amp;"-"&amp;BX266</f>
        <v>46388,4647337963-46568,4650578703</v>
      </c>
      <c r="BV267" s="1"/>
      <c r="BW267" s="1"/>
      <c r="BX267" s="1"/>
      <c r="BY267" s="1"/>
      <c r="CB267" t="str">
        <f>CC266&amp;"-"&amp;CE266</f>
        <v>46569,4654166667-46752,4655902778</v>
      </c>
      <c r="CC267" s="1"/>
      <c r="CD267" s="1"/>
      <c r="CE267" s="1"/>
      <c r="CF267" s="1"/>
      <c r="CI267" t="str">
        <f>CJ266&amp;"-"&amp;CL266</f>
        <v>46753,4658564815-46934,4661342593</v>
      </c>
      <c r="CJ267" s="1"/>
      <c r="CK267" s="1"/>
      <c r="CL267" s="1"/>
      <c r="CM267" s="1"/>
      <c r="CP267" t="str">
        <f>CQ266&amp;"-"&amp;CS266</f>
        <v>46935,4664351852-47118,4666203704</v>
      </c>
      <c r="CQ267" s="1"/>
      <c r="CR267" s="1"/>
      <c r="CS267" s="1"/>
      <c r="CT267" s="1"/>
      <c r="CV267" s="1"/>
      <c r="CY267" t="str">
        <f t="shared" si="4"/>
        <v/>
      </c>
      <c r="DB267">
        <v>0</v>
      </c>
    </row>
    <row r="268" spans="2:106" ht="21" customHeight="1" x14ac:dyDescent="0.15">
      <c r="E268" s="1"/>
      <c r="F268" s="1"/>
      <c r="G268" s="1"/>
      <c r="H268" s="1"/>
      <c r="I268" s="1"/>
      <c r="J268" s="1" t="str">
        <f>I260&amp;".1"</f>
        <v>1.13.1.1.1</v>
      </c>
      <c r="P268" s="1"/>
      <c r="Q268" s="1"/>
      <c r="T268" t="s">
        <v>601</v>
      </c>
      <c r="CV268" t="s">
        <v>602</v>
      </c>
      <c r="CY268" t="str">
        <f t="shared" si="4"/>
        <v>Добавить значение признака дифференциации</v>
      </c>
      <c r="DB268">
        <v>0</v>
      </c>
    </row>
    <row r="269" spans="2:106" ht="21" customHeight="1" x14ac:dyDescent="0.15">
      <c r="E269" s="1"/>
      <c r="F269" s="1" t="s">
        <v>154</v>
      </c>
      <c r="G269" s="1"/>
      <c r="H269" s="1"/>
      <c r="I269" s="1"/>
      <c r="P269" s="1"/>
      <c r="T269" t="s">
        <v>530</v>
      </c>
      <c r="CY269" t="str">
        <f t="shared" si="4"/>
        <v>Добавить группу потребителей</v>
      </c>
      <c r="DB269">
        <v>0</v>
      </c>
    </row>
    <row r="270" spans="2:106" ht="21" customHeight="1" x14ac:dyDescent="0.15">
      <c r="E270" s="1"/>
      <c r="F270" s="1" t="s">
        <v>154</v>
      </c>
      <c r="G270" s="1"/>
      <c r="H270" s="1"/>
      <c r="T270" t="s">
        <v>603</v>
      </c>
      <c r="CY270" t="str">
        <f t="shared" si="4"/>
        <v>Добавить наименование признака дифференциации</v>
      </c>
      <c r="DB270">
        <v>0</v>
      </c>
    </row>
    <row r="271" spans="2:106" ht="23.25" customHeight="1" x14ac:dyDescent="0.15">
      <c r="C271" t="s">
        <v>383</v>
      </c>
      <c r="E271" s="1"/>
      <c r="F271" s="1"/>
      <c r="G271" s="1" t="s">
        <v>105</v>
      </c>
      <c r="S271" t="str">
        <f>INDEX(PT_DIFFERENTIATION_NUM_CS,MATCH(C271,PT_DIFFERENTIATION_CS_ID,0))</f>
        <v>1.13.2</v>
      </c>
      <c r="T271" t="s">
        <v>631</v>
      </c>
      <c r="V271" s="1"/>
      <c r="W271" s="1"/>
      <c r="X271" s="1"/>
      <c r="Y271" s="1"/>
      <c r="Z271" s="1"/>
      <c r="AA271" s="1"/>
      <c r="AB271" s="1"/>
      <c r="AC271" s="1" t="str">
        <f>INDEX(PT_DIFFERENTIATION_CS,MATCH(C271,PT_DIFFERENTIATION_CS_ID,0))</f>
        <v>ГО ЗАТО г. Фокино (пгт. Путятин)</v>
      </c>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t="s">
        <v>632</v>
      </c>
      <c r="CY271" t="str">
        <f t="shared" si="4"/>
        <v>Наименование централизованной системы водоотведения</v>
      </c>
      <c r="DB271">
        <v>0</v>
      </c>
    </row>
    <row r="272" spans="2:106" ht="23.25" customHeight="1" x14ac:dyDescent="0.15">
      <c r="E272" s="1"/>
      <c r="F272" s="1"/>
      <c r="G272" s="1">
        <v>1</v>
      </c>
      <c r="H272" s="1"/>
      <c r="I272" s="1" t="str">
        <f>S271&amp;".1"</f>
        <v>1.13.2.1</v>
      </c>
      <c r="P272" s="1">
        <v>1</v>
      </c>
      <c r="S272" t="str">
        <f>$I272</f>
        <v>1.13.2.1</v>
      </c>
      <c r="T272" t="s">
        <v>598</v>
      </c>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t="s">
        <v>599</v>
      </c>
      <c r="CY272" t="str">
        <f t="shared" si="4"/>
        <v>Наименование признака дифференциации</v>
      </c>
      <c r="DB272">
        <v>0</v>
      </c>
    </row>
    <row r="273" spans="1:106" ht="23.25" customHeight="1" x14ac:dyDescent="0.15">
      <c r="E273" s="1"/>
      <c r="F273" s="1"/>
      <c r="G273" s="1">
        <v>1</v>
      </c>
      <c r="H273" s="1"/>
      <c r="I273" s="1"/>
      <c r="J273" s="1" t="str">
        <f>I272&amp;".1"</f>
        <v>1.13.2.1.1</v>
      </c>
      <c r="L273" t="s">
        <v>524</v>
      </c>
      <c r="P273" s="1"/>
      <c r="Q273" s="1">
        <v>1</v>
      </c>
      <c r="S273" t="str">
        <f>$J273</f>
        <v>1.13.2.1.1</v>
      </c>
      <c r="T273" t="s">
        <v>525</v>
      </c>
      <c r="V273" s="1"/>
      <c r="W273" s="1"/>
      <c r="X273" s="1"/>
      <c r="Y273" s="1"/>
      <c r="Z273" s="1"/>
      <c r="AA273" s="1"/>
      <c r="AB273" s="1"/>
      <c r="AC273" s="1" t="s">
        <v>636</v>
      </c>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t="s">
        <v>600</v>
      </c>
      <c r="CY273" t="str">
        <f t="shared" si="4"/>
        <v>Группа потребителей</v>
      </c>
      <c r="DB273">
        <v>0</v>
      </c>
    </row>
    <row r="274" spans="1:106" ht="23.25" customHeight="1" x14ac:dyDescent="0.15">
      <c r="E274" s="1"/>
      <c r="F274" s="1"/>
      <c r="G274" s="1">
        <v>1</v>
      </c>
      <c r="H274" s="1"/>
      <c r="I274" s="1"/>
      <c r="J274" s="1"/>
      <c r="K274" s="1" t="str">
        <f>J273&amp;".1"</f>
        <v>1.13.2.1.1.1</v>
      </c>
      <c r="P274" s="1"/>
      <c r="Q274" s="1"/>
      <c r="R274">
        <v>1</v>
      </c>
      <c r="S274" t="str">
        <f>$K274</f>
        <v>1.13.2.1.1.1</v>
      </c>
      <c r="Y274" s="1"/>
      <c r="Z274" s="1" t="s">
        <v>63</v>
      </c>
      <c r="AA274" s="1"/>
      <c r="AB274" s="1" t="s">
        <v>63</v>
      </c>
      <c r="AC274">
        <v>25.4</v>
      </c>
      <c r="AF274" s="1">
        <v>45292.473865740743</v>
      </c>
      <c r="AG274" s="1" t="s">
        <v>63</v>
      </c>
      <c r="AH274" s="1">
        <v>45473.473993055559</v>
      </c>
      <c r="AI274" s="1" t="s">
        <v>63</v>
      </c>
      <c r="AJ274">
        <v>33.020000000000003</v>
      </c>
      <c r="AM274" s="1">
        <v>45474.474131944444</v>
      </c>
      <c r="AN274" s="1" t="s">
        <v>63</v>
      </c>
      <c r="AO274" s="1">
        <v>45657.474270833336</v>
      </c>
      <c r="AP274" s="1" t="s">
        <v>63</v>
      </c>
      <c r="AQ274">
        <v>33.020000000000003</v>
      </c>
      <c r="AT274" s="1">
        <v>45658.474560185183</v>
      </c>
      <c r="AU274" s="1" t="s">
        <v>63</v>
      </c>
      <c r="AV274" s="1">
        <v>45838.474641203706</v>
      </c>
      <c r="AW274" s="1" t="s">
        <v>63</v>
      </c>
      <c r="AX274">
        <v>41.28</v>
      </c>
      <c r="BA274" s="1">
        <v>45839.474930555552</v>
      </c>
      <c r="BB274" s="1" t="s">
        <v>63</v>
      </c>
      <c r="BC274" s="1">
        <v>46022.475104166668</v>
      </c>
      <c r="BD274" s="1" t="s">
        <v>63</v>
      </c>
      <c r="BE274">
        <v>41.28</v>
      </c>
      <c r="BH274" s="1">
        <v>46023.475243055553</v>
      </c>
      <c r="BI274" s="1" t="s">
        <v>63</v>
      </c>
      <c r="BJ274" s="1">
        <v>46203.475497685184</v>
      </c>
      <c r="BK274" s="1" t="s">
        <v>63</v>
      </c>
      <c r="BL274">
        <v>42.92</v>
      </c>
      <c r="BO274" s="1">
        <v>46204.47587962963</v>
      </c>
      <c r="BP274" s="1" t="s">
        <v>63</v>
      </c>
      <c r="BQ274" s="1">
        <v>46387.476053240738</v>
      </c>
      <c r="BR274" s="1" t="s">
        <v>63</v>
      </c>
      <c r="BS274">
        <v>42.92</v>
      </c>
      <c r="BV274" s="1">
        <v>46388.47619212963</v>
      </c>
      <c r="BW274" s="1" t="s">
        <v>63</v>
      </c>
      <c r="BX274" s="1">
        <v>46568.476354166669</v>
      </c>
      <c r="BY274" s="1" t="s">
        <v>63</v>
      </c>
      <c r="BZ274">
        <v>44.22</v>
      </c>
      <c r="CC274" s="1">
        <v>46569.476678240739</v>
      </c>
      <c r="CD274" s="1" t="s">
        <v>63</v>
      </c>
      <c r="CE274" s="1">
        <v>46752.476967592593</v>
      </c>
      <c r="CF274" s="1" t="s">
        <v>63</v>
      </c>
      <c r="CG274">
        <v>44.22</v>
      </c>
      <c r="CJ274" s="1">
        <v>46753.477511574078</v>
      </c>
      <c r="CK274" s="1" t="s">
        <v>63</v>
      </c>
      <c r="CL274" s="1">
        <v>46934.477731481478</v>
      </c>
      <c r="CM274" s="1" t="s">
        <v>63</v>
      </c>
      <c r="CN274">
        <v>45.37</v>
      </c>
      <c r="CQ274" s="1">
        <v>46935.478194444448</v>
      </c>
      <c r="CR274" s="1" t="s">
        <v>63</v>
      </c>
      <c r="CS274" s="1">
        <v>47118.478541666664</v>
      </c>
      <c r="CT274" s="1" t="s">
        <v>63</v>
      </c>
      <c r="CV274"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74" t="e">
        <f ca="1">STRCHECKDATE(V275:CU275)</f>
        <v>#NAME?</v>
      </c>
      <c r="CY274" t="str">
        <f t="shared" si="4"/>
        <v/>
      </c>
      <c r="DB274">
        <v>0</v>
      </c>
    </row>
    <row r="275" spans="1:106" ht="14.25" customHeight="1" x14ac:dyDescent="0.15">
      <c r="E275" s="1"/>
      <c r="F275" s="1"/>
      <c r="G275" s="1">
        <v>1</v>
      </c>
      <c r="H275" s="1"/>
      <c r="I275" s="1"/>
      <c r="J275" s="1"/>
      <c r="K275" s="1"/>
      <c r="P275" s="1"/>
      <c r="Q275" s="1"/>
      <c r="X275" t="str">
        <f>Y274&amp;"-"&amp;AA274</f>
        <v>-</v>
      </c>
      <c r="Y275" s="1"/>
      <c r="Z275" s="1"/>
      <c r="AA275" s="1"/>
      <c r="AB275" s="1"/>
      <c r="AE275" t="str">
        <f>AF274&amp;"-"&amp;AH274</f>
        <v>45292,4738657407-45473,4739930556</v>
      </c>
      <c r="AF275" s="1"/>
      <c r="AG275" s="1"/>
      <c r="AH275" s="1"/>
      <c r="AI275" s="1"/>
      <c r="AL275" t="str">
        <f>AM274&amp;"-"&amp;AO274</f>
        <v>45474,4741319444-45657,4742708333</v>
      </c>
      <c r="AM275" s="1"/>
      <c r="AN275" s="1"/>
      <c r="AO275" s="1"/>
      <c r="AP275" s="1"/>
      <c r="AS275" t="str">
        <f>AT274&amp;"-"&amp;AV274</f>
        <v>45658,4745601852-45838,4746412037</v>
      </c>
      <c r="AT275" s="1"/>
      <c r="AU275" s="1"/>
      <c r="AV275" s="1"/>
      <c r="AW275" s="1"/>
      <c r="AZ275" t="str">
        <f>BA274&amp;"-"&amp;BC274</f>
        <v>45839,4749305556-46022,4751041667</v>
      </c>
      <c r="BA275" s="1"/>
      <c r="BB275" s="1"/>
      <c r="BC275" s="1"/>
      <c r="BD275" s="1"/>
      <c r="BG275" t="str">
        <f>BH274&amp;"-"&amp;BJ274</f>
        <v>46023,4752430556-46203,4754976852</v>
      </c>
      <c r="BH275" s="1"/>
      <c r="BI275" s="1"/>
      <c r="BJ275" s="1"/>
      <c r="BK275" s="1"/>
      <c r="BN275" t="str">
        <f>BO274&amp;"-"&amp;BQ274</f>
        <v>46204,4758796296-46387,4760532407</v>
      </c>
      <c r="BO275" s="1"/>
      <c r="BP275" s="1"/>
      <c r="BQ275" s="1"/>
      <c r="BR275" s="1"/>
      <c r="BU275" t="str">
        <f>BV274&amp;"-"&amp;BX274</f>
        <v>46388,4761921296-46568,4763541667</v>
      </c>
      <c r="BV275" s="1"/>
      <c r="BW275" s="1"/>
      <c r="BX275" s="1"/>
      <c r="BY275" s="1"/>
      <c r="CB275" t="str">
        <f>CC274&amp;"-"&amp;CE274</f>
        <v>46569,4766782407-46752,4769675926</v>
      </c>
      <c r="CC275" s="1"/>
      <c r="CD275" s="1"/>
      <c r="CE275" s="1"/>
      <c r="CF275" s="1"/>
      <c r="CI275" t="str">
        <f>CJ274&amp;"-"&amp;CL274</f>
        <v>46753,4775115741-46934,4777314815</v>
      </c>
      <c r="CJ275" s="1"/>
      <c r="CK275" s="1"/>
      <c r="CL275" s="1"/>
      <c r="CM275" s="1"/>
      <c r="CP275" t="str">
        <f>CQ274&amp;"-"&amp;CS274</f>
        <v>46935,4781944444-47118,4785416667</v>
      </c>
      <c r="CQ275" s="1"/>
      <c r="CR275" s="1"/>
      <c r="CS275" s="1"/>
      <c r="CT275" s="1"/>
      <c r="CV275" s="1"/>
      <c r="CY275" t="str">
        <f t="shared" si="4"/>
        <v/>
      </c>
      <c r="DB275">
        <v>0</v>
      </c>
    </row>
    <row r="276" spans="1:106" ht="21" customHeight="1" x14ac:dyDescent="0.15">
      <c r="E276" s="1"/>
      <c r="F276" s="1"/>
      <c r="G276" s="1">
        <v>1</v>
      </c>
      <c r="H276" s="1"/>
      <c r="I276" s="1"/>
      <c r="J276" s="1"/>
      <c r="P276" s="1"/>
      <c r="Q276" s="1"/>
      <c r="T276" t="s">
        <v>601</v>
      </c>
      <c r="CV276" t="s">
        <v>602</v>
      </c>
      <c r="CY276" t="str">
        <f t="shared" si="4"/>
        <v>Добавить значение признака дифференциации</v>
      </c>
      <c r="DB276">
        <v>0</v>
      </c>
    </row>
    <row r="277" spans="1:106" ht="23.25" customHeight="1" x14ac:dyDescent="0.15">
      <c r="E277" s="1"/>
      <c r="F277" s="1"/>
      <c r="G277" s="1"/>
      <c r="H277" s="1"/>
      <c r="I277" s="1"/>
      <c r="J277" s="1" t="str">
        <f>I272&amp;".2"</f>
        <v>1.13.2.1.2</v>
      </c>
      <c r="L277" t="s">
        <v>524</v>
      </c>
      <c r="P277" s="1"/>
      <c r="Q277" s="1" t="s">
        <v>106</v>
      </c>
      <c r="S277" t="str">
        <f>$J277</f>
        <v>1.13.2.1.2</v>
      </c>
      <c r="T277" t="s">
        <v>525</v>
      </c>
      <c r="V277" s="1"/>
      <c r="W277" s="1"/>
      <c r="X277" s="1"/>
      <c r="Y277" s="1"/>
      <c r="Z277" s="1"/>
      <c r="AA277" s="1"/>
      <c r="AB277" s="1"/>
      <c r="AC277" s="1" t="s">
        <v>637</v>
      </c>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t="s">
        <v>600</v>
      </c>
      <c r="CY277" t="str">
        <f t="shared" si="4"/>
        <v>Группа потребителей</v>
      </c>
      <c r="DB277">
        <v>0</v>
      </c>
    </row>
    <row r="278" spans="1:106" ht="23.25" customHeight="1" x14ac:dyDescent="0.15">
      <c r="E278" s="1"/>
      <c r="F278" s="1"/>
      <c r="G278" s="1"/>
      <c r="H278" s="1"/>
      <c r="I278" s="1"/>
      <c r="J278" s="1" t="str">
        <f>I272&amp;".1"</f>
        <v>1.13.2.1.1</v>
      </c>
      <c r="K278" s="1" t="str">
        <f>J277&amp;".1"</f>
        <v>1.13.2.1.2.1</v>
      </c>
      <c r="P278" s="1"/>
      <c r="Q278" s="1"/>
      <c r="R278">
        <v>1</v>
      </c>
      <c r="S278" t="str">
        <f>$K278</f>
        <v>1.13.2.1.2.1</v>
      </c>
      <c r="Y278" s="1"/>
      <c r="Z278" s="1" t="s">
        <v>63</v>
      </c>
      <c r="AA278" s="1"/>
      <c r="AB278" s="1" t="s">
        <v>63</v>
      </c>
      <c r="AC278">
        <v>21.17</v>
      </c>
      <c r="AF278" s="1">
        <v>45292.473923611113</v>
      </c>
      <c r="AG278" s="1" t="s">
        <v>63</v>
      </c>
      <c r="AH278" s="1">
        <v>45473.474062499998</v>
      </c>
      <c r="AI278" s="1" t="s">
        <v>63</v>
      </c>
      <c r="AJ278">
        <v>27.52</v>
      </c>
      <c r="AM278" s="1">
        <v>45474.474212962959</v>
      </c>
      <c r="AN278" s="1" t="s">
        <v>63</v>
      </c>
      <c r="AO278" s="1">
        <v>45657.474317129629</v>
      </c>
      <c r="AP278" s="1" t="s">
        <v>63</v>
      </c>
      <c r="AQ278">
        <v>27.52</v>
      </c>
      <c r="AT278" s="1">
        <v>45658.474606481483</v>
      </c>
      <c r="AU278" s="1" t="s">
        <v>63</v>
      </c>
      <c r="AV278" s="1">
        <v>45838.474756944444</v>
      </c>
      <c r="AW278" s="1" t="s">
        <v>63</v>
      </c>
      <c r="AX278">
        <v>34.4</v>
      </c>
      <c r="BA278" s="1">
        <v>45839.475023148145</v>
      </c>
      <c r="BB278" s="1" t="s">
        <v>63</v>
      </c>
      <c r="BC278" s="1">
        <v>46022.475173611114</v>
      </c>
      <c r="BD278" s="1" t="s">
        <v>63</v>
      </c>
      <c r="BE278">
        <v>34.4</v>
      </c>
      <c r="BH278" s="1">
        <v>46023.475439814814</v>
      </c>
      <c r="BI278" s="1" t="s">
        <v>63</v>
      </c>
      <c r="BJ278" s="1">
        <v>46203.475706018522</v>
      </c>
      <c r="BK278" s="1" t="s">
        <v>63</v>
      </c>
      <c r="BL278">
        <v>35.770000000000003</v>
      </c>
      <c r="BO278" s="1">
        <v>46204.475972222222</v>
      </c>
      <c r="BP278" s="1" t="s">
        <v>63</v>
      </c>
      <c r="BQ278" s="1">
        <v>46387.476122685184</v>
      </c>
      <c r="BR278" s="1" t="s">
        <v>63</v>
      </c>
      <c r="BS278">
        <v>35.770000000000003</v>
      </c>
      <c r="BV278" s="1">
        <v>46388.476284722223</v>
      </c>
      <c r="BW278" s="1" t="s">
        <v>63</v>
      </c>
      <c r="BX278" s="1">
        <v>46568.476493055554</v>
      </c>
      <c r="BY278" s="1" t="s">
        <v>63</v>
      </c>
      <c r="BZ278">
        <v>36.85</v>
      </c>
      <c r="CC278" s="1">
        <v>46569.476851851854</v>
      </c>
      <c r="CD278" s="1" t="s">
        <v>63</v>
      </c>
      <c r="CE278" s="1">
        <v>46752.477083333331</v>
      </c>
      <c r="CF278" s="1" t="s">
        <v>63</v>
      </c>
      <c r="CG278">
        <v>36.85</v>
      </c>
      <c r="CJ278" s="1">
        <v>46753.477627314816</v>
      </c>
      <c r="CK278" s="1" t="s">
        <v>63</v>
      </c>
      <c r="CL278" s="1">
        <v>46934.477870370371</v>
      </c>
      <c r="CM278" s="1" t="s">
        <v>63</v>
      </c>
      <c r="CN278">
        <v>37.81</v>
      </c>
      <c r="CQ278" s="1">
        <v>46935.478402777779</v>
      </c>
      <c r="CR278" s="1" t="s">
        <v>63</v>
      </c>
      <c r="CS278" s="1">
        <v>47118.47859953704</v>
      </c>
      <c r="CT278" s="1" t="s">
        <v>63</v>
      </c>
      <c r="CV278"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278" t="e">
        <f ca="1">STRCHECKDATE(V279:CU279)</f>
        <v>#NAME?</v>
      </c>
      <c r="CY278" t="str">
        <f t="shared" si="4"/>
        <v/>
      </c>
      <c r="DB278">
        <v>0</v>
      </c>
    </row>
    <row r="279" spans="1:106" ht="14.25" customHeight="1" x14ac:dyDescent="0.15">
      <c r="E279" s="1"/>
      <c r="F279" s="1"/>
      <c r="G279" s="1"/>
      <c r="H279" s="1"/>
      <c r="I279" s="1"/>
      <c r="J279" s="1" t="str">
        <f>I272&amp;".1"</f>
        <v>1.13.2.1.1</v>
      </c>
      <c r="K279" s="1"/>
      <c r="P279" s="1"/>
      <c r="Q279" s="1"/>
      <c r="X279" t="str">
        <f>Y278&amp;"-"&amp;AA278</f>
        <v>-</v>
      </c>
      <c r="Y279" s="1"/>
      <c r="Z279" s="1"/>
      <c r="AA279" s="1"/>
      <c r="AB279" s="1"/>
      <c r="AE279" t="str">
        <f>AF278&amp;"-"&amp;AH278</f>
        <v>45292,4739236111-45473,4740625</v>
      </c>
      <c r="AF279" s="1"/>
      <c r="AG279" s="1"/>
      <c r="AH279" s="1"/>
      <c r="AI279" s="1"/>
      <c r="AL279" t="str">
        <f>AM278&amp;"-"&amp;AO278</f>
        <v>45474,474212963-45657,4743171296</v>
      </c>
      <c r="AM279" s="1"/>
      <c r="AN279" s="1"/>
      <c r="AO279" s="1"/>
      <c r="AP279" s="1"/>
      <c r="AS279" t="str">
        <f>AT278&amp;"-"&amp;AV278</f>
        <v>45658,4746064815-45838,4747569444</v>
      </c>
      <c r="AT279" s="1"/>
      <c r="AU279" s="1"/>
      <c r="AV279" s="1"/>
      <c r="AW279" s="1"/>
      <c r="AZ279" t="str">
        <f>BA278&amp;"-"&amp;BC278</f>
        <v>45839,4750231481-46022,4751736111</v>
      </c>
      <c r="BA279" s="1"/>
      <c r="BB279" s="1"/>
      <c r="BC279" s="1"/>
      <c r="BD279" s="1"/>
      <c r="BG279" t="str">
        <f>BH278&amp;"-"&amp;BJ278</f>
        <v>46023,4754398148-46203,4757060185</v>
      </c>
      <c r="BH279" s="1"/>
      <c r="BI279" s="1"/>
      <c r="BJ279" s="1"/>
      <c r="BK279" s="1"/>
      <c r="BN279" t="str">
        <f>BO278&amp;"-"&amp;BQ278</f>
        <v>46204,4759722222-46387,4761226852</v>
      </c>
      <c r="BO279" s="1"/>
      <c r="BP279" s="1"/>
      <c r="BQ279" s="1"/>
      <c r="BR279" s="1"/>
      <c r="BU279" t="str">
        <f>BV278&amp;"-"&amp;BX278</f>
        <v>46388,4762847222-46568,4764930556</v>
      </c>
      <c r="BV279" s="1"/>
      <c r="BW279" s="1"/>
      <c r="BX279" s="1"/>
      <c r="BY279" s="1"/>
      <c r="CB279" t="str">
        <f>CC278&amp;"-"&amp;CE278</f>
        <v>46569,4768518519-46752,4770833333</v>
      </c>
      <c r="CC279" s="1"/>
      <c r="CD279" s="1"/>
      <c r="CE279" s="1"/>
      <c r="CF279" s="1"/>
      <c r="CI279" t="str">
        <f>CJ278&amp;"-"&amp;CL278</f>
        <v>46753,4776273148-46934,4778703704</v>
      </c>
      <c r="CJ279" s="1"/>
      <c r="CK279" s="1"/>
      <c r="CL279" s="1"/>
      <c r="CM279" s="1"/>
      <c r="CP279" t="str">
        <f>CQ278&amp;"-"&amp;CS278</f>
        <v>46935,4784027778-47118,478599537</v>
      </c>
      <c r="CQ279" s="1"/>
      <c r="CR279" s="1"/>
      <c r="CS279" s="1"/>
      <c r="CT279" s="1"/>
      <c r="CV279" s="1"/>
      <c r="CY279" t="str">
        <f t="shared" si="4"/>
        <v/>
      </c>
      <c r="DB279">
        <v>0</v>
      </c>
    </row>
    <row r="280" spans="1:106" ht="21" customHeight="1" x14ac:dyDescent="0.15">
      <c r="E280" s="1"/>
      <c r="F280" s="1"/>
      <c r="G280" s="1"/>
      <c r="H280" s="1"/>
      <c r="I280" s="1"/>
      <c r="J280" s="1" t="str">
        <f>I272&amp;".1"</f>
        <v>1.13.2.1.1</v>
      </c>
      <c r="P280" s="1"/>
      <c r="Q280" s="1"/>
      <c r="T280" t="s">
        <v>601</v>
      </c>
      <c r="CV280" t="s">
        <v>602</v>
      </c>
      <c r="CY280" t="str">
        <f t="shared" si="4"/>
        <v>Добавить значение признака дифференциации</v>
      </c>
      <c r="DB280">
        <v>0</v>
      </c>
    </row>
    <row r="281" spans="1:106" ht="21" customHeight="1" x14ac:dyDescent="0.15">
      <c r="E281" s="1"/>
      <c r="F281" s="1"/>
      <c r="G281" s="1">
        <v>1</v>
      </c>
      <c r="H281" s="1"/>
      <c r="I281" s="1"/>
      <c r="P281" s="1"/>
      <c r="T281" t="s">
        <v>530</v>
      </c>
      <c r="CY281" t="str">
        <f t="shared" si="4"/>
        <v>Добавить группу потребителей</v>
      </c>
      <c r="DB281">
        <v>0</v>
      </c>
    </row>
    <row r="282" spans="1:106" ht="21" customHeight="1" x14ac:dyDescent="0.15">
      <c r="E282" s="1"/>
      <c r="F282" s="1"/>
      <c r="G282" s="1">
        <v>1</v>
      </c>
      <c r="H282" s="1"/>
      <c r="T282" t="s">
        <v>603</v>
      </c>
      <c r="CY282" t="str">
        <f t="shared" si="4"/>
        <v>Добавить наименование признака дифференциации</v>
      </c>
      <c r="DB282">
        <v>0</v>
      </c>
    </row>
    <row r="283" spans="1:106" ht="14.25" customHeight="1" x14ac:dyDescent="0.15">
      <c r="E283" s="1"/>
      <c r="F283" s="1" t="s">
        <v>154</v>
      </c>
      <c r="T283" t="s">
        <v>321</v>
      </c>
      <c r="CY283" t="str">
        <f t="shared" si="4"/>
        <v>Добавить централизованную систему для дифференциации</v>
      </c>
      <c r="DB283">
        <v>0</v>
      </c>
    </row>
    <row r="284" spans="1:106" ht="0" hidden="1" customHeight="1" x14ac:dyDescent="0.15">
      <c r="A284" t="s">
        <v>318</v>
      </c>
      <c r="E284" s="1"/>
      <c r="T284" t="s">
        <v>385</v>
      </c>
      <c r="CY284" t="str">
        <f t="shared" si="4"/>
        <v>Добавить территорию для дифференциации</v>
      </c>
      <c r="DB284">
        <v>0</v>
      </c>
    </row>
    <row r="285" spans="1:106" ht="0" hidden="1" customHeight="1" x14ac:dyDescent="0.15">
      <c r="T285" t="s">
        <v>386</v>
      </c>
      <c r="CY285" t="str">
        <f t="shared" si="4"/>
        <v>Добавить наименование тарифа</v>
      </c>
      <c r="DB285">
        <v>0</v>
      </c>
    </row>
    <row r="286" spans="1:106" ht="11.45" customHeight="1" x14ac:dyDescent="0.15">
      <c r="DB286">
        <v>11</v>
      </c>
    </row>
    <row r="287" spans="1:106" ht="14.65" customHeight="1" x14ac:dyDescent="0.15">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DB287">
        <v>14</v>
      </c>
    </row>
    <row r="288" spans="1:106" ht="14.65" customHeight="1" x14ac:dyDescent="0.15">
      <c r="DB288">
        <v>14</v>
      </c>
    </row>
    <row r="289" spans="1:106" ht="14.65" customHeight="1" x14ac:dyDescent="0.15">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DB289">
        <v>14</v>
      </c>
    </row>
    <row r="290" spans="1:106" ht="22.5" hidden="1" customHeight="1" x14ac:dyDescent="0.15">
      <c r="A290" t="s">
        <v>84</v>
      </c>
      <c r="B290">
        <v>0</v>
      </c>
      <c r="C290">
        <v>0</v>
      </c>
      <c r="D290">
        <v>0</v>
      </c>
      <c r="E290">
        <v>0</v>
      </c>
      <c r="F290">
        <v>0</v>
      </c>
      <c r="G290">
        <v>0</v>
      </c>
      <c r="H290">
        <v>0</v>
      </c>
      <c r="I290">
        <v>0</v>
      </c>
      <c r="J290">
        <v>0</v>
      </c>
      <c r="K290">
        <v>0</v>
      </c>
      <c r="L290">
        <v>0</v>
      </c>
      <c r="M290">
        <v>0</v>
      </c>
      <c r="N290">
        <v>0</v>
      </c>
      <c r="O290">
        <v>0</v>
      </c>
      <c r="P290">
        <v>3</v>
      </c>
      <c r="Q290">
        <v>3</v>
      </c>
      <c r="R290">
        <v>3</v>
      </c>
      <c r="S290">
        <v>12</v>
      </c>
      <c r="T290">
        <v>35</v>
      </c>
      <c r="U290">
        <v>0</v>
      </c>
      <c r="V290">
        <v>0</v>
      </c>
      <c r="W290">
        <v>0</v>
      </c>
      <c r="X290">
        <v>0</v>
      </c>
      <c r="Y290">
        <v>0</v>
      </c>
      <c r="Z290">
        <v>0</v>
      </c>
      <c r="AA290">
        <v>0</v>
      </c>
      <c r="AB290">
        <v>0</v>
      </c>
      <c r="AC290">
        <v>24</v>
      </c>
      <c r="AD290">
        <v>24</v>
      </c>
      <c r="AE290">
        <v>24</v>
      </c>
      <c r="AF290">
        <v>11</v>
      </c>
      <c r="AG290">
        <v>3</v>
      </c>
      <c r="AH290">
        <v>11</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4</v>
      </c>
      <c r="CV290">
        <v>115</v>
      </c>
      <c r="CW290">
        <v>10</v>
      </c>
      <c r="CX290">
        <v>10</v>
      </c>
      <c r="CY290">
        <v>10</v>
      </c>
      <c r="CZ290">
        <v>10</v>
      </c>
      <c r="DA290">
        <v>10</v>
      </c>
      <c r="DB290">
        <v>23</v>
      </c>
    </row>
  </sheetData>
  <sheetProtection formatColumns="0" formatRows="0" insertRows="0" deleteColumns="0" deleteRows="0" sort="0" autoFilter="0"/>
  <mergeCells count="2212">
    <mergeCell ref="CF278:CF279"/>
    <mergeCell ref="CJ278:CJ279"/>
    <mergeCell ref="CK278:CK279"/>
    <mergeCell ref="CL278:CL279"/>
    <mergeCell ref="CM278:CM279"/>
    <mergeCell ref="CQ278:CQ279"/>
    <mergeCell ref="CR278:CR279"/>
    <mergeCell ref="CS278:CS279"/>
    <mergeCell ref="CT278:CT279"/>
    <mergeCell ref="BC278:BC279"/>
    <mergeCell ref="BD278:BD279"/>
    <mergeCell ref="BH278:BH279"/>
    <mergeCell ref="BI278:BI279"/>
    <mergeCell ref="BJ278:BJ279"/>
    <mergeCell ref="BK278:BK279"/>
    <mergeCell ref="BO278:BO279"/>
    <mergeCell ref="BP278:BP279"/>
    <mergeCell ref="BQ278:BQ279"/>
    <mergeCell ref="BR278:BR279"/>
    <mergeCell ref="BV278:BV279"/>
    <mergeCell ref="BW278:BW279"/>
    <mergeCell ref="BX278:BX279"/>
    <mergeCell ref="BY278:BY279"/>
    <mergeCell ref="CC278:CC279"/>
    <mergeCell ref="CD278:CD279"/>
    <mergeCell ref="CE278:CE279"/>
    <mergeCell ref="CJ266:CJ267"/>
    <mergeCell ref="CK266:CK267"/>
    <mergeCell ref="CL266:CL267"/>
    <mergeCell ref="CM266:CM267"/>
    <mergeCell ref="CQ266:CQ267"/>
    <mergeCell ref="CR266:CR267"/>
    <mergeCell ref="CS266:CS267"/>
    <mergeCell ref="CT266:CT267"/>
    <mergeCell ref="CV278:CV279"/>
    <mergeCell ref="Z278:Z279"/>
    <mergeCell ref="AA278:AA279"/>
    <mergeCell ref="AB278:AB279"/>
    <mergeCell ref="AF278:AF279"/>
    <mergeCell ref="AG278:AG279"/>
    <mergeCell ref="AH278:AH279"/>
    <mergeCell ref="J277:J280"/>
    <mergeCell ref="Q277:Q280"/>
    <mergeCell ref="V277:AB277"/>
    <mergeCell ref="AC277:CU277"/>
    <mergeCell ref="K278:K279"/>
    <mergeCell ref="Y278:Y279"/>
    <mergeCell ref="AI278:AI279"/>
    <mergeCell ref="AM278:AM279"/>
    <mergeCell ref="AN278:AN279"/>
    <mergeCell ref="AO278:AO279"/>
    <mergeCell ref="AP278:AP279"/>
    <mergeCell ref="AT278:AT279"/>
    <mergeCell ref="AU278:AU279"/>
    <mergeCell ref="AV278:AV279"/>
    <mergeCell ref="AW278:AW279"/>
    <mergeCell ref="BA278:BA279"/>
    <mergeCell ref="BB278:BB279"/>
    <mergeCell ref="CT252:CT253"/>
    <mergeCell ref="CV266:CV267"/>
    <mergeCell ref="Z266:Z267"/>
    <mergeCell ref="AA266:AA267"/>
    <mergeCell ref="AB266:AB267"/>
    <mergeCell ref="AF266:AF267"/>
    <mergeCell ref="AG266:AG267"/>
    <mergeCell ref="AH266:AH267"/>
    <mergeCell ref="J265:J268"/>
    <mergeCell ref="Q265:Q268"/>
    <mergeCell ref="V265:AB265"/>
    <mergeCell ref="AC265:CU265"/>
    <mergeCell ref="K266:K267"/>
    <mergeCell ref="Y266:Y267"/>
    <mergeCell ref="AI266:AI267"/>
    <mergeCell ref="AM266:AM267"/>
    <mergeCell ref="AN266:AN267"/>
    <mergeCell ref="AO266:AO267"/>
    <mergeCell ref="AP266:AP267"/>
    <mergeCell ref="AT266:AT267"/>
    <mergeCell ref="AU266:AU267"/>
    <mergeCell ref="AV266:AV267"/>
    <mergeCell ref="AW266:AW267"/>
    <mergeCell ref="BA266:BA267"/>
    <mergeCell ref="BB266:BB267"/>
    <mergeCell ref="BC266:BC267"/>
    <mergeCell ref="BD266:BD267"/>
    <mergeCell ref="BH266:BH267"/>
    <mergeCell ref="BI266:BI267"/>
    <mergeCell ref="BJ266:BJ267"/>
    <mergeCell ref="BK266:BK267"/>
    <mergeCell ref="BO266:BO267"/>
    <mergeCell ref="BQ252:BQ253"/>
    <mergeCell ref="BR252:BR253"/>
    <mergeCell ref="BV252:BV253"/>
    <mergeCell ref="BW252:BW253"/>
    <mergeCell ref="BX252:BX253"/>
    <mergeCell ref="BY252:BY253"/>
    <mergeCell ref="CC252:CC253"/>
    <mergeCell ref="CD252:CD253"/>
    <mergeCell ref="CE252:CE253"/>
    <mergeCell ref="CF252:CF253"/>
    <mergeCell ref="CJ252:CJ253"/>
    <mergeCell ref="CK252:CK253"/>
    <mergeCell ref="CL252:CL253"/>
    <mergeCell ref="CM252:CM253"/>
    <mergeCell ref="CQ252:CQ253"/>
    <mergeCell ref="CR252:CR253"/>
    <mergeCell ref="CS252:CS253"/>
    <mergeCell ref="CV252:CV253"/>
    <mergeCell ref="Z252:Z253"/>
    <mergeCell ref="AA252:AA253"/>
    <mergeCell ref="AB252:AB253"/>
    <mergeCell ref="AF252:AF253"/>
    <mergeCell ref="AG252:AG253"/>
    <mergeCell ref="AH252:AH253"/>
    <mergeCell ref="J251:J254"/>
    <mergeCell ref="Q251:Q254"/>
    <mergeCell ref="V251:AB251"/>
    <mergeCell ref="AC251:CU251"/>
    <mergeCell ref="K252:K253"/>
    <mergeCell ref="Y252:Y253"/>
    <mergeCell ref="AI252:AI253"/>
    <mergeCell ref="AM252:AM253"/>
    <mergeCell ref="AN252:AN253"/>
    <mergeCell ref="AO252:AO253"/>
    <mergeCell ref="AP252:AP253"/>
    <mergeCell ref="AT252:AT253"/>
    <mergeCell ref="AU252:AU253"/>
    <mergeCell ref="AV252:AV253"/>
    <mergeCell ref="AW252:AW253"/>
    <mergeCell ref="BA252:BA253"/>
    <mergeCell ref="BB252:BB253"/>
    <mergeCell ref="BC252:BC253"/>
    <mergeCell ref="BD252:BD253"/>
    <mergeCell ref="BH252:BH253"/>
    <mergeCell ref="BI252:BI253"/>
    <mergeCell ref="BJ252:BJ253"/>
    <mergeCell ref="BK252:BK253"/>
    <mergeCell ref="BO252:BO253"/>
    <mergeCell ref="BP252:BP253"/>
    <mergeCell ref="J237:J240"/>
    <mergeCell ref="Q237:Q240"/>
    <mergeCell ref="V237:AB237"/>
    <mergeCell ref="AC237:CU237"/>
    <mergeCell ref="K238:K239"/>
    <mergeCell ref="Y238:Y239"/>
    <mergeCell ref="AI238:AI239"/>
    <mergeCell ref="AM238:AM239"/>
    <mergeCell ref="AN238:AN239"/>
    <mergeCell ref="AO238:AO239"/>
    <mergeCell ref="AP238:AP239"/>
    <mergeCell ref="AT238:AT239"/>
    <mergeCell ref="AU238:AU239"/>
    <mergeCell ref="AV238:AV239"/>
    <mergeCell ref="AW238:AW239"/>
    <mergeCell ref="BA238:BA239"/>
    <mergeCell ref="BB238:BB239"/>
    <mergeCell ref="BC238:BC239"/>
    <mergeCell ref="BD238:BD239"/>
    <mergeCell ref="BH238:BH239"/>
    <mergeCell ref="BI238:BI239"/>
    <mergeCell ref="BJ238:BJ239"/>
    <mergeCell ref="BK238:BK239"/>
    <mergeCell ref="BO238:BO239"/>
    <mergeCell ref="BP238:BP239"/>
    <mergeCell ref="BQ238:BQ239"/>
    <mergeCell ref="BR238:BR239"/>
    <mergeCell ref="BV238:BV239"/>
    <mergeCell ref="BW238:BW239"/>
    <mergeCell ref="BX238:BX239"/>
    <mergeCell ref="BY238:BY239"/>
    <mergeCell ref="CC238:CC239"/>
    <mergeCell ref="BX224:BX225"/>
    <mergeCell ref="BY224:BY225"/>
    <mergeCell ref="CC224:CC225"/>
    <mergeCell ref="CD224:CD225"/>
    <mergeCell ref="CE224:CE225"/>
    <mergeCell ref="CF224:CF225"/>
    <mergeCell ref="CJ224:CJ225"/>
    <mergeCell ref="CK224:CK225"/>
    <mergeCell ref="CL224:CL225"/>
    <mergeCell ref="CM224:CM225"/>
    <mergeCell ref="CQ224:CQ225"/>
    <mergeCell ref="CR224:CR225"/>
    <mergeCell ref="CS224:CS225"/>
    <mergeCell ref="CT224:CT225"/>
    <mergeCell ref="CV238:CV239"/>
    <mergeCell ref="Z238:Z239"/>
    <mergeCell ref="AA238:AA239"/>
    <mergeCell ref="AB238:AB239"/>
    <mergeCell ref="AF238:AF239"/>
    <mergeCell ref="AG238:AG239"/>
    <mergeCell ref="AH238:AH239"/>
    <mergeCell ref="CD238:CD239"/>
    <mergeCell ref="CE238:CE239"/>
    <mergeCell ref="CF238:CF239"/>
    <mergeCell ref="CJ238:CJ239"/>
    <mergeCell ref="CK238:CK239"/>
    <mergeCell ref="CL238:CL239"/>
    <mergeCell ref="CM238:CM239"/>
    <mergeCell ref="CQ238:CQ239"/>
    <mergeCell ref="CR238:CR239"/>
    <mergeCell ref="CS238:CS239"/>
    <mergeCell ref="CT238:CT239"/>
    <mergeCell ref="Z224:Z225"/>
    <mergeCell ref="AA224:AA225"/>
    <mergeCell ref="AB224:AB225"/>
    <mergeCell ref="AF224:AF225"/>
    <mergeCell ref="AG224:AG225"/>
    <mergeCell ref="AH224:AH225"/>
    <mergeCell ref="J223:J226"/>
    <mergeCell ref="Q223:Q226"/>
    <mergeCell ref="V223:AB223"/>
    <mergeCell ref="AC223:CU223"/>
    <mergeCell ref="K224:K225"/>
    <mergeCell ref="Y224:Y225"/>
    <mergeCell ref="AI224:AI225"/>
    <mergeCell ref="AM224:AM225"/>
    <mergeCell ref="AN224:AN225"/>
    <mergeCell ref="AO224:AO225"/>
    <mergeCell ref="AP224:AP225"/>
    <mergeCell ref="AT224:AT225"/>
    <mergeCell ref="AU224:AU225"/>
    <mergeCell ref="AV224:AV225"/>
    <mergeCell ref="AW224:AW225"/>
    <mergeCell ref="BA224:BA225"/>
    <mergeCell ref="BB224:BB225"/>
    <mergeCell ref="BC224:BC225"/>
    <mergeCell ref="BD224:BD225"/>
    <mergeCell ref="BH224:BH225"/>
    <mergeCell ref="BI224:BI225"/>
    <mergeCell ref="BJ224:BJ225"/>
    <mergeCell ref="BK224:BK225"/>
    <mergeCell ref="BO224:BO225"/>
    <mergeCell ref="BP224:BP225"/>
    <mergeCell ref="BQ224:BQ225"/>
    <mergeCell ref="BQ210:BQ211"/>
    <mergeCell ref="BR210:BR211"/>
    <mergeCell ref="BV210:BV211"/>
    <mergeCell ref="BW210:BW211"/>
    <mergeCell ref="BX210:BX211"/>
    <mergeCell ref="BY210:BY211"/>
    <mergeCell ref="CC210:CC211"/>
    <mergeCell ref="CD210:CD211"/>
    <mergeCell ref="CE210:CE211"/>
    <mergeCell ref="CF210:CF211"/>
    <mergeCell ref="CJ210:CJ211"/>
    <mergeCell ref="CK210:CK211"/>
    <mergeCell ref="CL210:CL211"/>
    <mergeCell ref="CM210:CM211"/>
    <mergeCell ref="CQ210:CQ211"/>
    <mergeCell ref="CR210:CR211"/>
    <mergeCell ref="CS210:CS211"/>
    <mergeCell ref="CV210:CV211"/>
    <mergeCell ref="Z210:Z211"/>
    <mergeCell ref="AA210:AA211"/>
    <mergeCell ref="AB210:AB211"/>
    <mergeCell ref="AF210:AF211"/>
    <mergeCell ref="AG210:AG211"/>
    <mergeCell ref="AH210:AH211"/>
    <mergeCell ref="J209:J212"/>
    <mergeCell ref="Q209:Q212"/>
    <mergeCell ref="V209:AB209"/>
    <mergeCell ref="AC209:CU209"/>
    <mergeCell ref="K210:K211"/>
    <mergeCell ref="Y210:Y211"/>
    <mergeCell ref="AI210:AI211"/>
    <mergeCell ref="AM210:AM211"/>
    <mergeCell ref="AN210:AN211"/>
    <mergeCell ref="AO210:AO211"/>
    <mergeCell ref="AP210:AP211"/>
    <mergeCell ref="AT210:AT211"/>
    <mergeCell ref="AU210:AU211"/>
    <mergeCell ref="AV210:AV211"/>
    <mergeCell ref="AW210:AW211"/>
    <mergeCell ref="BA210:BA211"/>
    <mergeCell ref="BB210:BB211"/>
    <mergeCell ref="BC210:BC211"/>
    <mergeCell ref="BD210:BD211"/>
    <mergeCell ref="BH210:BH211"/>
    <mergeCell ref="BI210:BI211"/>
    <mergeCell ref="BJ210:BJ211"/>
    <mergeCell ref="BK210:BK211"/>
    <mergeCell ref="BO210:BO211"/>
    <mergeCell ref="BP210:BP211"/>
    <mergeCell ref="BQ196:BQ197"/>
    <mergeCell ref="BR196:BR197"/>
    <mergeCell ref="BV196:BV197"/>
    <mergeCell ref="BW196:BW197"/>
    <mergeCell ref="BX196:BX197"/>
    <mergeCell ref="BY196:BY197"/>
    <mergeCell ref="CC196:CC197"/>
    <mergeCell ref="CD196:CD197"/>
    <mergeCell ref="CE196:CE197"/>
    <mergeCell ref="CF196:CF197"/>
    <mergeCell ref="CJ196:CJ197"/>
    <mergeCell ref="CK196:CK197"/>
    <mergeCell ref="CL196:CL197"/>
    <mergeCell ref="CM196:CM197"/>
    <mergeCell ref="CQ196:CQ197"/>
    <mergeCell ref="CR196:CR197"/>
    <mergeCell ref="CS196:CS197"/>
    <mergeCell ref="CV196:CV197"/>
    <mergeCell ref="Z196:Z197"/>
    <mergeCell ref="AA196:AA197"/>
    <mergeCell ref="AB196:AB197"/>
    <mergeCell ref="AF196:AF197"/>
    <mergeCell ref="AG196:AG197"/>
    <mergeCell ref="AH196:AH197"/>
    <mergeCell ref="J195:J198"/>
    <mergeCell ref="Q195:Q198"/>
    <mergeCell ref="V195:AB195"/>
    <mergeCell ref="AC195:CU195"/>
    <mergeCell ref="K196:K197"/>
    <mergeCell ref="Y196:Y197"/>
    <mergeCell ref="AI196:AI197"/>
    <mergeCell ref="AM196:AM197"/>
    <mergeCell ref="AN196:AN197"/>
    <mergeCell ref="AO196:AO197"/>
    <mergeCell ref="AP196:AP197"/>
    <mergeCell ref="AT196:AT197"/>
    <mergeCell ref="AU196:AU197"/>
    <mergeCell ref="AV196:AV197"/>
    <mergeCell ref="AW196:AW197"/>
    <mergeCell ref="BA196:BA197"/>
    <mergeCell ref="BB196:BB197"/>
    <mergeCell ref="BC196:BC197"/>
    <mergeCell ref="BD196:BD197"/>
    <mergeCell ref="BH196:BH197"/>
    <mergeCell ref="BI196:BI197"/>
    <mergeCell ref="BJ196:BJ197"/>
    <mergeCell ref="BK196:BK197"/>
    <mergeCell ref="BO196:BO197"/>
    <mergeCell ref="BP196:BP197"/>
    <mergeCell ref="BQ182:BQ183"/>
    <mergeCell ref="BR182:BR183"/>
    <mergeCell ref="BV182:BV183"/>
    <mergeCell ref="BW182:BW183"/>
    <mergeCell ref="BX182:BX183"/>
    <mergeCell ref="BY182:BY183"/>
    <mergeCell ref="CC182:CC183"/>
    <mergeCell ref="CD182:CD183"/>
    <mergeCell ref="CE182:CE183"/>
    <mergeCell ref="CF182:CF183"/>
    <mergeCell ref="CJ182:CJ183"/>
    <mergeCell ref="CK182:CK183"/>
    <mergeCell ref="CL182:CL183"/>
    <mergeCell ref="CM182:CM183"/>
    <mergeCell ref="CQ182:CQ183"/>
    <mergeCell ref="CR182:CR183"/>
    <mergeCell ref="CS182:CS183"/>
    <mergeCell ref="CV182:CV183"/>
    <mergeCell ref="Z182:Z183"/>
    <mergeCell ref="AA182:AA183"/>
    <mergeCell ref="AB182:AB183"/>
    <mergeCell ref="AF182:AF183"/>
    <mergeCell ref="AG182:AG183"/>
    <mergeCell ref="AH182:AH183"/>
    <mergeCell ref="J181:J184"/>
    <mergeCell ref="Q181:Q184"/>
    <mergeCell ref="V181:AB181"/>
    <mergeCell ref="AC181:CU181"/>
    <mergeCell ref="K182:K183"/>
    <mergeCell ref="Y182:Y183"/>
    <mergeCell ref="AI182:AI183"/>
    <mergeCell ref="AM182:AM183"/>
    <mergeCell ref="AN182:AN183"/>
    <mergeCell ref="AO182:AO183"/>
    <mergeCell ref="AP182:AP183"/>
    <mergeCell ref="AT182:AT183"/>
    <mergeCell ref="AU182:AU183"/>
    <mergeCell ref="AV182:AV183"/>
    <mergeCell ref="AW182:AW183"/>
    <mergeCell ref="BA182:BA183"/>
    <mergeCell ref="BB182:BB183"/>
    <mergeCell ref="BC182:BC183"/>
    <mergeCell ref="BD182:BD183"/>
    <mergeCell ref="BH182:BH183"/>
    <mergeCell ref="BI182:BI183"/>
    <mergeCell ref="BJ182:BJ183"/>
    <mergeCell ref="BK182:BK183"/>
    <mergeCell ref="BO182:BO183"/>
    <mergeCell ref="BP182:BP183"/>
    <mergeCell ref="BP168:BP169"/>
    <mergeCell ref="BQ168:BQ169"/>
    <mergeCell ref="BR168:BR169"/>
    <mergeCell ref="BV168:BV169"/>
    <mergeCell ref="BW168:BW169"/>
    <mergeCell ref="BX168:BX169"/>
    <mergeCell ref="BY168:BY169"/>
    <mergeCell ref="CC168:CC169"/>
    <mergeCell ref="CD168:CD169"/>
    <mergeCell ref="CE168:CE169"/>
    <mergeCell ref="CF168:CF169"/>
    <mergeCell ref="CJ168:CJ169"/>
    <mergeCell ref="CK168:CK169"/>
    <mergeCell ref="CL168:CL169"/>
    <mergeCell ref="CM168:CM169"/>
    <mergeCell ref="CQ168:CQ169"/>
    <mergeCell ref="CR168:CR169"/>
    <mergeCell ref="CT154:CT155"/>
    <mergeCell ref="CV168:CV169"/>
    <mergeCell ref="Z168:Z169"/>
    <mergeCell ref="AA168:AA169"/>
    <mergeCell ref="AB168:AB169"/>
    <mergeCell ref="AF168:AF169"/>
    <mergeCell ref="AG168:AG169"/>
    <mergeCell ref="AH168:AH169"/>
    <mergeCell ref="J167:J170"/>
    <mergeCell ref="Q167:Q170"/>
    <mergeCell ref="V167:AB167"/>
    <mergeCell ref="AC167:CU167"/>
    <mergeCell ref="K168:K169"/>
    <mergeCell ref="Y168:Y169"/>
    <mergeCell ref="AI168:AI169"/>
    <mergeCell ref="AM168:AM169"/>
    <mergeCell ref="AN168:AN169"/>
    <mergeCell ref="AO168:AO169"/>
    <mergeCell ref="AP168:AP169"/>
    <mergeCell ref="AT168:AT169"/>
    <mergeCell ref="AU168:AU169"/>
    <mergeCell ref="AV168:AV169"/>
    <mergeCell ref="AW168:AW169"/>
    <mergeCell ref="BA168:BA169"/>
    <mergeCell ref="BB168:BB169"/>
    <mergeCell ref="BC168:BC169"/>
    <mergeCell ref="BD168:BD169"/>
    <mergeCell ref="BH168:BH169"/>
    <mergeCell ref="BI168:BI169"/>
    <mergeCell ref="BJ168:BJ169"/>
    <mergeCell ref="BK168:BK169"/>
    <mergeCell ref="BO168:BO169"/>
    <mergeCell ref="BQ154:BQ155"/>
    <mergeCell ref="BR154:BR155"/>
    <mergeCell ref="BV154:BV155"/>
    <mergeCell ref="BW154:BW155"/>
    <mergeCell ref="BX154:BX155"/>
    <mergeCell ref="BY154:BY155"/>
    <mergeCell ref="CC154:CC155"/>
    <mergeCell ref="CD154:CD155"/>
    <mergeCell ref="CE154:CE155"/>
    <mergeCell ref="CF154:CF155"/>
    <mergeCell ref="CJ154:CJ155"/>
    <mergeCell ref="CK154:CK155"/>
    <mergeCell ref="CL154:CL155"/>
    <mergeCell ref="CM154:CM155"/>
    <mergeCell ref="CQ154:CQ155"/>
    <mergeCell ref="CR154:CR155"/>
    <mergeCell ref="CS154:CS155"/>
    <mergeCell ref="CV154:CV155"/>
    <mergeCell ref="Z154:Z155"/>
    <mergeCell ref="AA154:AA155"/>
    <mergeCell ref="AB154:AB155"/>
    <mergeCell ref="AF154:AF155"/>
    <mergeCell ref="AG154:AG155"/>
    <mergeCell ref="AH154:AH155"/>
    <mergeCell ref="J153:J156"/>
    <mergeCell ref="Q153:Q156"/>
    <mergeCell ref="V153:AB153"/>
    <mergeCell ref="AC153:CU153"/>
    <mergeCell ref="K154:K155"/>
    <mergeCell ref="Y154:Y155"/>
    <mergeCell ref="AI154:AI155"/>
    <mergeCell ref="AM154:AM155"/>
    <mergeCell ref="AN154:AN155"/>
    <mergeCell ref="AO154:AO155"/>
    <mergeCell ref="AP154:AP155"/>
    <mergeCell ref="AT154:AT155"/>
    <mergeCell ref="AU154:AU155"/>
    <mergeCell ref="AV154:AV155"/>
    <mergeCell ref="AW154:AW155"/>
    <mergeCell ref="BA154:BA155"/>
    <mergeCell ref="BB154:BB155"/>
    <mergeCell ref="BC154:BC155"/>
    <mergeCell ref="BD154:BD155"/>
    <mergeCell ref="BH154:BH155"/>
    <mergeCell ref="BI154:BI155"/>
    <mergeCell ref="BJ154:BJ155"/>
    <mergeCell ref="BK154:BK155"/>
    <mergeCell ref="BO154:BO155"/>
    <mergeCell ref="BP154:BP155"/>
    <mergeCell ref="BQ140:BQ141"/>
    <mergeCell ref="BR140:BR141"/>
    <mergeCell ref="BV140:BV141"/>
    <mergeCell ref="BW140:BW141"/>
    <mergeCell ref="BX140:BX141"/>
    <mergeCell ref="BY140:BY141"/>
    <mergeCell ref="CC140:CC141"/>
    <mergeCell ref="CD140:CD141"/>
    <mergeCell ref="CE140:CE141"/>
    <mergeCell ref="CF140:CF141"/>
    <mergeCell ref="CJ140:CJ141"/>
    <mergeCell ref="CK140:CK141"/>
    <mergeCell ref="CL140:CL141"/>
    <mergeCell ref="CM140:CM141"/>
    <mergeCell ref="CQ140:CQ141"/>
    <mergeCell ref="CR140:CR141"/>
    <mergeCell ref="CS140:CS141"/>
    <mergeCell ref="CV140:CV141"/>
    <mergeCell ref="Z140:Z141"/>
    <mergeCell ref="AA140:AA141"/>
    <mergeCell ref="AB140:AB141"/>
    <mergeCell ref="AF140:AF141"/>
    <mergeCell ref="AG140:AG141"/>
    <mergeCell ref="AH140:AH141"/>
    <mergeCell ref="J139:J142"/>
    <mergeCell ref="Q139:Q142"/>
    <mergeCell ref="V139:AB139"/>
    <mergeCell ref="AC139:CU139"/>
    <mergeCell ref="K140:K141"/>
    <mergeCell ref="Y140:Y141"/>
    <mergeCell ref="AI140:AI141"/>
    <mergeCell ref="AM140:AM141"/>
    <mergeCell ref="AN140:AN141"/>
    <mergeCell ref="AO140:AO141"/>
    <mergeCell ref="AP140:AP141"/>
    <mergeCell ref="AT140:AT141"/>
    <mergeCell ref="AU140:AU141"/>
    <mergeCell ref="AV140:AV141"/>
    <mergeCell ref="AW140:AW141"/>
    <mergeCell ref="BA140:BA141"/>
    <mergeCell ref="BB140:BB141"/>
    <mergeCell ref="BC140:BC141"/>
    <mergeCell ref="BD140:BD141"/>
    <mergeCell ref="BH140:BH141"/>
    <mergeCell ref="BI140:BI141"/>
    <mergeCell ref="BJ140:BJ141"/>
    <mergeCell ref="BK140:BK141"/>
    <mergeCell ref="BO140:BO141"/>
    <mergeCell ref="BP140:BP141"/>
    <mergeCell ref="BQ116:BQ117"/>
    <mergeCell ref="BR116:BR117"/>
    <mergeCell ref="BV116:BV117"/>
    <mergeCell ref="BW116:BW117"/>
    <mergeCell ref="BX116:BX117"/>
    <mergeCell ref="BY116:BY117"/>
    <mergeCell ref="CC116:CC117"/>
    <mergeCell ref="CD116:CD117"/>
    <mergeCell ref="CE116:CE117"/>
    <mergeCell ref="CF116:CF117"/>
    <mergeCell ref="CJ116:CJ117"/>
    <mergeCell ref="CK116:CK117"/>
    <mergeCell ref="CL116:CL117"/>
    <mergeCell ref="CM116:CM117"/>
    <mergeCell ref="CQ116:CQ117"/>
    <mergeCell ref="CR116:CR117"/>
    <mergeCell ref="CS116:CS117"/>
    <mergeCell ref="CV116:CV117"/>
    <mergeCell ref="Z116:Z117"/>
    <mergeCell ref="AA116:AA117"/>
    <mergeCell ref="AB116:AB117"/>
    <mergeCell ref="AF116:AF117"/>
    <mergeCell ref="AG116:AG117"/>
    <mergeCell ref="AH116:AH117"/>
    <mergeCell ref="J115:J118"/>
    <mergeCell ref="Q115:Q118"/>
    <mergeCell ref="V115:AB115"/>
    <mergeCell ref="AC115:CU115"/>
    <mergeCell ref="K116:K117"/>
    <mergeCell ref="Y116:Y117"/>
    <mergeCell ref="AI116:AI117"/>
    <mergeCell ref="AM116:AM117"/>
    <mergeCell ref="AN116:AN117"/>
    <mergeCell ref="AO116:AO117"/>
    <mergeCell ref="AP116:AP117"/>
    <mergeCell ref="AT116:AT117"/>
    <mergeCell ref="AU116:AU117"/>
    <mergeCell ref="AV116:AV117"/>
    <mergeCell ref="AW116:AW117"/>
    <mergeCell ref="BA116:BA117"/>
    <mergeCell ref="BB116:BB117"/>
    <mergeCell ref="BC116:BC117"/>
    <mergeCell ref="BD116:BD117"/>
    <mergeCell ref="BH116:BH117"/>
    <mergeCell ref="BI116:BI117"/>
    <mergeCell ref="BJ116:BJ117"/>
    <mergeCell ref="BK116:BK117"/>
    <mergeCell ref="BO116:BO117"/>
    <mergeCell ref="BP116:BP117"/>
    <mergeCell ref="BQ128:BQ129"/>
    <mergeCell ref="BR128:BR129"/>
    <mergeCell ref="BV128:BV129"/>
    <mergeCell ref="BW128:BW129"/>
    <mergeCell ref="BX128:BX129"/>
    <mergeCell ref="BY128:BY129"/>
    <mergeCell ref="CC128:CC129"/>
    <mergeCell ref="CD128:CD129"/>
    <mergeCell ref="CE128:CE129"/>
    <mergeCell ref="CF128:CF129"/>
    <mergeCell ref="CJ128:CJ129"/>
    <mergeCell ref="CK128:CK129"/>
    <mergeCell ref="CL128:CL129"/>
    <mergeCell ref="CM128:CM129"/>
    <mergeCell ref="CQ128:CQ129"/>
    <mergeCell ref="CR128:CR129"/>
    <mergeCell ref="CS128:CS129"/>
    <mergeCell ref="CV128:CV129"/>
    <mergeCell ref="Z128:Z129"/>
    <mergeCell ref="AA128:AA129"/>
    <mergeCell ref="AB128:AB129"/>
    <mergeCell ref="AF128:AF129"/>
    <mergeCell ref="AG128:AG129"/>
    <mergeCell ref="AH128:AH129"/>
    <mergeCell ref="J127:J130"/>
    <mergeCell ref="Q127:Q130"/>
    <mergeCell ref="V127:AB127"/>
    <mergeCell ref="AC127:CU127"/>
    <mergeCell ref="K128:K129"/>
    <mergeCell ref="Y128:Y129"/>
    <mergeCell ref="AI128:AI129"/>
    <mergeCell ref="AM128:AM129"/>
    <mergeCell ref="AN128:AN129"/>
    <mergeCell ref="AO128:AO129"/>
    <mergeCell ref="AP128:AP129"/>
    <mergeCell ref="AT128:AT129"/>
    <mergeCell ref="AU128:AU129"/>
    <mergeCell ref="AV128:AV129"/>
    <mergeCell ref="AW128:AW129"/>
    <mergeCell ref="BA128:BA129"/>
    <mergeCell ref="BB128:BB129"/>
    <mergeCell ref="BC128:BC129"/>
    <mergeCell ref="BD128:BD129"/>
    <mergeCell ref="BH128:BH129"/>
    <mergeCell ref="BI128:BI129"/>
    <mergeCell ref="BJ128:BJ129"/>
    <mergeCell ref="BK128:BK129"/>
    <mergeCell ref="BO128:BO129"/>
    <mergeCell ref="BP128:BP129"/>
    <mergeCell ref="BQ104:BQ105"/>
    <mergeCell ref="BR104:BR105"/>
    <mergeCell ref="BV104:BV105"/>
    <mergeCell ref="BW104:BW105"/>
    <mergeCell ref="BX104:BX105"/>
    <mergeCell ref="BY104:BY105"/>
    <mergeCell ref="CC104:CC105"/>
    <mergeCell ref="CD104:CD105"/>
    <mergeCell ref="CE104:CE105"/>
    <mergeCell ref="CF104:CF105"/>
    <mergeCell ref="CJ104:CJ105"/>
    <mergeCell ref="CK104:CK105"/>
    <mergeCell ref="CL104:CL105"/>
    <mergeCell ref="CM104:CM105"/>
    <mergeCell ref="CQ104:CQ105"/>
    <mergeCell ref="CR104:CR105"/>
    <mergeCell ref="CS104:CS105"/>
    <mergeCell ref="CV104:CV105"/>
    <mergeCell ref="Z104:Z105"/>
    <mergeCell ref="AA104:AA105"/>
    <mergeCell ref="AB104:AB105"/>
    <mergeCell ref="AF104:AF105"/>
    <mergeCell ref="AG104:AG105"/>
    <mergeCell ref="AH104:AH105"/>
    <mergeCell ref="J103:J106"/>
    <mergeCell ref="Q103:Q106"/>
    <mergeCell ref="V103:AB103"/>
    <mergeCell ref="AC103:CU103"/>
    <mergeCell ref="K104:K105"/>
    <mergeCell ref="Y104:Y105"/>
    <mergeCell ref="AI104:AI105"/>
    <mergeCell ref="AM104:AM105"/>
    <mergeCell ref="AN104:AN105"/>
    <mergeCell ref="AO104:AO105"/>
    <mergeCell ref="AP104:AP105"/>
    <mergeCell ref="AT104:AT105"/>
    <mergeCell ref="AU104:AU105"/>
    <mergeCell ref="AV104:AV105"/>
    <mergeCell ref="AW104:AW105"/>
    <mergeCell ref="BA104:BA105"/>
    <mergeCell ref="BB104:BB105"/>
    <mergeCell ref="BC104:BC105"/>
    <mergeCell ref="BD104:BD105"/>
    <mergeCell ref="BH104:BH105"/>
    <mergeCell ref="BI104:BI105"/>
    <mergeCell ref="BJ104:BJ105"/>
    <mergeCell ref="BK104:BK105"/>
    <mergeCell ref="BO104:BO105"/>
    <mergeCell ref="BP104:BP105"/>
    <mergeCell ref="BR92:BR93"/>
    <mergeCell ref="BV92:BV93"/>
    <mergeCell ref="BW92:BW93"/>
    <mergeCell ref="BX92:BX93"/>
    <mergeCell ref="BY92:BY93"/>
    <mergeCell ref="CC92:CC93"/>
    <mergeCell ref="CD92:CD93"/>
    <mergeCell ref="CE92:CE93"/>
    <mergeCell ref="CF92:CF93"/>
    <mergeCell ref="CJ92:CJ93"/>
    <mergeCell ref="CK92:CK93"/>
    <mergeCell ref="CL92:CL93"/>
    <mergeCell ref="CM92:CM93"/>
    <mergeCell ref="CQ92:CQ93"/>
    <mergeCell ref="CR92:CR93"/>
    <mergeCell ref="CS92:CS93"/>
    <mergeCell ref="CT92:CT93"/>
    <mergeCell ref="Z92:Z93"/>
    <mergeCell ref="AA92:AA93"/>
    <mergeCell ref="AB92:AB93"/>
    <mergeCell ref="AF92:AF93"/>
    <mergeCell ref="AG92:AG93"/>
    <mergeCell ref="AH92:AH93"/>
    <mergeCell ref="J91:J94"/>
    <mergeCell ref="Q91:Q94"/>
    <mergeCell ref="V91:AB91"/>
    <mergeCell ref="AC91:CU91"/>
    <mergeCell ref="K92:K93"/>
    <mergeCell ref="Y92:Y93"/>
    <mergeCell ref="AI92:AI93"/>
    <mergeCell ref="AM92:AM93"/>
    <mergeCell ref="AN92:AN93"/>
    <mergeCell ref="AO92:AO93"/>
    <mergeCell ref="AP92:AP93"/>
    <mergeCell ref="AT92:AT93"/>
    <mergeCell ref="AU92:AU93"/>
    <mergeCell ref="AV92:AV93"/>
    <mergeCell ref="AW92:AW93"/>
    <mergeCell ref="BA92:BA93"/>
    <mergeCell ref="BB92:BB93"/>
    <mergeCell ref="BC92:BC93"/>
    <mergeCell ref="BD92:BD93"/>
    <mergeCell ref="BH92:BH93"/>
    <mergeCell ref="BI92:BI93"/>
    <mergeCell ref="BJ92:BJ93"/>
    <mergeCell ref="BK92:BK93"/>
    <mergeCell ref="BO92:BO93"/>
    <mergeCell ref="BP92:BP93"/>
    <mergeCell ref="BQ92:BQ93"/>
    <mergeCell ref="BV78:BV79"/>
    <mergeCell ref="BW78:BW79"/>
    <mergeCell ref="BX78:BX79"/>
    <mergeCell ref="BY78:BY79"/>
    <mergeCell ref="CC78:CC79"/>
    <mergeCell ref="CD78:CD79"/>
    <mergeCell ref="CE78:CE79"/>
    <mergeCell ref="CF78:CF79"/>
    <mergeCell ref="CJ78:CJ79"/>
    <mergeCell ref="CK78:CK79"/>
    <mergeCell ref="CL78:CL79"/>
    <mergeCell ref="CM78:CM79"/>
    <mergeCell ref="CQ78:CQ79"/>
    <mergeCell ref="CR78:CR79"/>
    <mergeCell ref="CS78:CS79"/>
    <mergeCell ref="CT78:CT79"/>
    <mergeCell ref="CV92:CV93"/>
    <mergeCell ref="AA78:AA79"/>
    <mergeCell ref="AB78:AB79"/>
    <mergeCell ref="AF78:AF79"/>
    <mergeCell ref="AG78:AG79"/>
    <mergeCell ref="AH78:AH79"/>
    <mergeCell ref="J77:J80"/>
    <mergeCell ref="Q77:Q80"/>
    <mergeCell ref="V77:AB77"/>
    <mergeCell ref="AC77:CU77"/>
    <mergeCell ref="K78:K79"/>
    <mergeCell ref="Y78:Y79"/>
    <mergeCell ref="AI78:AI79"/>
    <mergeCell ref="AM78:AM79"/>
    <mergeCell ref="AN78:AN79"/>
    <mergeCell ref="AO78:AO79"/>
    <mergeCell ref="AP78:AP79"/>
    <mergeCell ref="AT78:AT79"/>
    <mergeCell ref="AU78:AU79"/>
    <mergeCell ref="AV78:AV79"/>
    <mergeCell ref="AW78:AW79"/>
    <mergeCell ref="BA78:BA79"/>
    <mergeCell ref="BB78:BB79"/>
    <mergeCell ref="BC78:BC79"/>
    <mergeCell ref="BD78:BD79"/>
    <mergeCell ref="BH78:BH79"/>
    <mergeCell ref="BI78:BI79"/>
    <mergeCell ref="BJ78:BJ79"/>
    <mergeCell ref="BK78:BK79"/>
    <mergeCell ref="BO78:BO79"/>
    <mergeCell ref="BP78:BP79"/>
    <mergeCell ref="BQ78:BQ79"/>
    <mergeCell ref="BR78:BR79"/>
    <mergeCell ref="J63:J66"/>
    <mergeCell ref="Q63:Q66"/>
    <mergeCell ref="V63:AB63"/>
    <mergeCell ref="AC63:CU63"/>
    <mergeCell ref="K64:K65"/>
    <mergeCell ref="Y64:Y65"/>
    <mergeCell ref="AI64:AI65"/>
    <mergeCell ref="AM64:AM65"/>
    <mergeCell ref="AN64:AN65"/>
    <mergeCell ref="AO64:AO65"/>
    <mergeCell ref="AP64:AP65"/>
    <mergeCell ref="AT64:AT65"/>
    <mergeCell ref="AU64:AU65"/>
    <mergeCell ref="AV64:AV65"/>
    <mergeCell ref="AW64:AW65"/>
    <mergeCell ref="BA64:BA65"/>
    <mergeCell ref="BB64:BB65"/>
    <mergeCell ref="BC64:BC65"/>
    <mergeCell ref="BD64:BD65"/>
    <mergeCell ref="BH64:BH65"/>
    <mergeCell ref="BI64:BI65"/>
    <mergeCell ref="BJ64:BJ65"/>
    <mergeCell ref="BK64:BK65"/>
    <mergeCell ref="BO64:BO65"/>
    <mergeCell ref="BP64:BP65"/>
    <mergeCell ref="BQ64:BQ65"/>
    <mergeCell ref="BR64:BR65"/>
    <mergeCell ref="BV64:BV65"/>
    <mergeCell ref="BW64:BW65"/>
    <mergeCell ref="BX64:BX65"/>
    <mergeCell ref="BY64:BY65"/>
    <mergeCell ref="CC64:CC65"/>
    <mergeCell ref="CQ248:CQ249"/>
    <mergeCell ref="CR248:CR249"/>
    <mergeCell ref="CS248:CS249"/>
    <mergeCell ref="CT248:CT249"/>
    <mergeCell ref="CQ262:CQ263"/>
    <mergeCell ref="CR262:CR263"/>
    <mergeCell ref="CS262:CS263"/>
    <mergeCell ref="CT262:CT263"/>
    <mergeCell ref="CQ274:CQ275"/>
    <mergeCell ref="CR274:CR275"/>
    <mergeCell ref="CS274:CS275"/>
    <mergeCell ref="CT274:CT275"/>
    <mergeCell ref="CV64:CV65"/>
    <mergeCell ref="Z64:Z65"/>
    <mergeCell ref="AA64:AA65"/>
    <mergeCell ref="AB64:AB65"/>
    <mergeCell ref="AF64:AF65"/>
    <mergeCell ref="AG64:AG65"/>
    <mergeCell ref="AH64:AH65"/>
    <mergeCell ref="CD64:CD65"/>
    <mergeCell ref="CE64:CE65"/>
    <mergeCell ref="CF64:CF65"/>
    <mergeCell ref="CJ64:CJ65"/>
    <mergeCell ref="CK64:CK65"/>
    <mergeCell ref="CL64:CL65"/>
    <mergeCell ref="CM64:CM65"/>
    <mergeCell ref="CQ64:CQ65"/>
    <mergeCell ref="CR64:CR65"/>
    <mergeCell ref="CS64:CS65"/>
    <mergeCell ref="CT64:CT65"/>
    <mergeCell ref="CV78:CV79"/>
    <mergeCell ref="Z78:Z79"/>
    <mergeCell ref="CQ164:CQ165"/>
    <mergeCell ref="CR164:CR165"/>
    <mergeCell ref="CS164:CS165"/>
    <mergeCell ref="CT164:CT165"/>
    <mergeCell ref="CQ178:CQ179"/>
    <mergeCell ref="CR178:CR179"/>
    <mergeCell ref="CS178:CS179"/>
    <mergeCell ref="CT178:CT179"/>
    <mergeCell ref="CQ192:CQ193"/>
    <mergeCell ref="CR192:CR193"/>
    <mergeCell ref="CS192:CS193"/>
    <mergeCell ref="CT192:CT193"/>
    <mergeCell ref="CQ206:CQ207"/>
    <mergeCell ref="CR206:CR207"/>
    <mergeCell ref="CS206:CS207"/>
    <mergeCell ref="CT206:CT207"/>
    <mergeCell ref="CQ220:CQ221"/>
    <mergeCell ref="CR220:CR221"/>
    <mergeCell ref="CS220:CS221"/>
    <mergeCell ref="CT220:CT221"/>
    <mergeCell ref="CS168:CS169"/>
    <mergeCell ref="CT168:CT169"/>
    <mergeCell ref="CT182:CT183"/>
    <mergeCell ref="CT196:CT197"/>
    <mergeCell ref="CT210:CT211"/>
    <mergeCell ref="CQ100:CQ101"/>
    <mergeCell ref="CR100:CR101"/>
    <mergeCell ref="CS100:CS101"/>
    <mergeCell ref="CT100:CT101"/>
    <mergeCell ref="CQ112:CQ113"/>
    <mergeCell ref="CR112:CR113"/>
    <mergeCell ref="CS112:CS113"/>
    <mergeCell ref="CT112:CT113"/>
    <mergeCell ref="CQ124:CQ125"/>
    <mergeCell ref="CR124:CR125"/>
    <mergeCell ref="CS124:CS125"/>
    <mergeCell ref="CT124:CT125"/>
    <mergeCell ref="CQ136:CQ137"/>
    <mergeCell ref="CR136:CR137"/>
    <mergeCell ref="CS136:CS137"/>
    <mergeCell ref="CT136:CT137"/>
    <mergeCell ref="CQ150:CQ151"/>
    <mergeCell ref="CR150:CR151"/>
    <mergeCell ref="CS150:CS151"/>
    <mergeCell ref="CT150:CT151"/>
    <mergeCell ref="CT104:CT105"/>
    <mergeCell ref="CT128:CT129"/>
    <mergeCell ref="CT116:CT117"/>
    <mergeCell ref="CT140:CT141"/>
    <mergeCell ref="CQ46:CQ47"/>
    <mergeCell ref="CR46:CR47"/>
    <mergeCell ref="CS46:CS47"/>
    <mergeCell ref="CT46:CT47"/>
    <mergeCell ref="CQ50:CQ51"/>
    <mergeCell ref="CR50:CR51"/>
    <mergeCell ref="CS50:CS51"/>
    <mergeCell ref="CT50:CT51"/>
    <mergeCell ref="CQ60:CQ61"/>
    <mergeCell ref="CR60:CR61"/>
    <mergeCell ref="CS60:CS61"/>
    <mergeCell ref="CT60:CT61"/>
    <mergeCell ref="CQ74:CQ75"/>
    <mergeCell ref="CR74:CR75"/>
    <mergeCell ref="CS74:CS75"/>
    <mergeCell ref="CT74:CT75"/>
    <mergeCell ref="CQ88:CQ89"/>
    <mergeCell ref="CR88:CR89"/>
    <mergeCell ref="CS88:CS89"/>
    <mergeCell ref="CT88:CT89"/>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BD274:BD275"/>
    <mergeCell ref="BH274:BH275"/>
    <mergeCell ref="BI274:BI275"/>
    <mergeCell ref="BJ274:BJ275"/>
    <mergeCell ref="BK274:BK275"/>
    <mergeCell ref="BO274:BO275"/>
    <mergeCell ref="BP274:BP275"/>
    <mergeCell ref="BQ274:BQ275"/>
    <mergeCell ref="BR274:BR275"/>
    <mergeCell ref="BV274:BV275"/>
    <mergeCell ref="BW274:BW275"/>
    <mergeCell ref="BX274:BX275"/>
    <mergeCell ref="BY274:BY275"/>
    <mergeCell ref="CC274:CC275"/>
    <mergeCell ref="CD274:CD275"/>
    <mergeCell ref="CE274:CE275"/>
    <mergeCell ref="CF274:CF275"/>
    <mergeCell ref="Z274:Z275"/>
    <mergeCell ref="AA274:AA275"/>
    <mergeCell ref="AB274:AB275"/>
    <mergeCell ref="AF274:AF275"/>
    <mergeCell ref="AG274:AG275"/>
    <mergeCell ref="AH274:AH275"/>
    <mergeCell ref="G271:G282"/>
    <mergeCell ref="V271:AB271"/>
    <mergeCell ref="AC271:CU271"/>
    <mergeCell ref="H272:H282"/>
    <mergeCell ref="I272:I281"/>
    <mergeCell ref="P272:P281"/>
    <mergeCell ref="V272:AB272"/>
    <mergeCell ref="AC272:CU272"/>
    <mergeCell ref="J273:J276"/>
    <mergeCell ref="Q273:Q276"/>
    <mergeCell ref="V273:AB273"/>
    <mergeCell ref="AC273:CU273"/>
    <mergeCell ref="K274:K275"/>
    <mergeCell ref="Y274:Y275"/>
    <mergeCell ref="AI274:AI275"/>
    <mergeCell ref="AM274:AM275"/>
    <mergeCell ref="AN274:AN275"/>
    <mergeCell ref="AO274:AO275"/>
    <mergeCell ref="AP274:AP275"/>
    <mergeCell ref="AT274:AT275"/>
    <mergeCell ref="AU274:AU275"/>
    <mergeCell ref="AV274:AV275"/>
    <mergeCell ref="AW274:AW275"/>
    <mergeCell ref="BA274:BA275"/>
    <mergeCell ref="BB274:BB275"/>
    <mergeCell ref="BC274:BC275"/>
    <mergeCell ref="BO262:BO263"/>
    <mergeCell ref="BP262:BP263"/>
    <mergeCell ref="BQ262:BQ263"/>
    <mergeCell ref="BR262:BR263"/>
    <mergeCell ref="BV262:BV263"/>
    <mergeCell ref="BW262:BW263"/>
    <mergeCell ref="BX262:BX263"/>
    <mergeCell ref="BY262:BY263"/>
    <mergeCell ref="CC262:CC263"/>
    <mergeCell ref="CD262:CD263"/>
    <mergeCell ref="CE262:CE263"/>
    <mergeCell ref="CF262:CF263"/>
    <mergeCell ref="CJ262:CJ263"/>
    <mergeCell ref="CK262:CK263"/>
    <mergeCell ref="CL262:CL263"/>
    <mergeCell ref="CM262:CM263"/>
    <mergeCell ref="CV274:CV275"/>
    <mergeCell ref="CJ274:CJ275"/>
    <mergeCell ref="CK274:CK275"/>
    <mergeCell ref="CL274:CL275"/>
    <mergeCell ref="CM274:CM275"/>
    <mergeCell ref="BP266:BP267"/>
    <mergeCell ref="BQ266:BQ267"/>
    <mergeCell ref="BR266:BR267"/>
    <mergeCell ref="BV266:BV267"/>
    <mergeCell ref="BW266:BW267"/>
    <mergeCell ref="BX266:BX267"/>
    <mergeCell ref="BY266:BY267"/>
    <mergeCell ref="CC266:CC267"/>
    <mergeCell ref="CD266:CD267"/>
    <mergeCell ref="CE266:CE267"/>
    <mergeCell ref="CF266:CF267"/>
    <mergeCell ref="AI262:AI263"/>
    <mergeCell ref="AM262:AM263"/>
    <mergeCell ref="AN262:AN263"/>
    <mergeCell ref="AO262:AO263"/>
    <mergeCell ref="AP262:AP263"/>
    <mergeCell ref="AT262:AT263"/>
    <mergeCell ref="AU262:AU263"/>
    <mergeCell ref="AV262:AV263"/>
    <mergeCell ref="AW262:AW263"/>
    <mergeCell ref="BA262:BA263"/>
    <mergeCell ref="BB262:BB263"/>
    <mergeCell ref="BC262:BC263"/>
    <mergeCell ref="BD262:BD263"/>
    <mergeCell ref="BH262:BH263"/>
    <mergeCell ref="BI262:BI263"/>
    <mergeCell ref="BJ262:BJ263"/>
    <mergeCell ref="BK262:BK263"/>
    <mergeCell ref="CC248:CC249"/>
    <mergeCell ref="CD248:CD249"/>
    <mergeCell ref="CE248:CE249"/>
    <mergeCell ref="CF248:CF249"/>
    <mergeCell ref="CJ248:CJ249"/>
    <mergeCell ref="CK248:CK249"/>
    <mergeCell ref="CL248:CL249"/>
    <mergeCell ref="CM248:CM249"/>
    <mergeCell ref="CV262:CV263"/>
    <mergeCell ref="Z262:Z263"/>
    <mergeCell ref="AA262:AA263"/>
    <mergeCell ref="AB262:AB263"/>
    <mergeCell ref="AF262:AF263"/>
    <mergeCell ref="AG262:AG263"/>
    <mergeCell ref="AH262:AH263"/>
    <mergeCell ref="F258:F283"/>
    <mergeCell ref="V258:AB258"/>
    <mergeCell ref="AC258:CU258"/>
    <mergeCell ref="G259:G270"/>
    <mergeCell ref="V259:AB259"/>
    <mergeCell ref="AC259:CU259"/>
    <mergeCell ref="H260:H270"/>
    <mergeCell ref="I260:I269"/>
    <mergeCell ref="P260:P269"/>
    <mergeCell ref="V260:AB260"/>
    <mergeCell ref="AC260:CU260"/>
    <mergeCell ref="J261:J264"/>
    <mergeCell ref="Q261:Q264"/>
    <mergeCell ref="V261:AB261"/>
    <mergeCell ref="AC261:CU261"/>
    <mergeCell ref="K262:K263"/>
    <mergeCell ref="Y262:Y263"/>
    <mergeCell ref="AW248:AW249"/>
    <mergeCell ref="BA248:BA249"/>
    <mergeCell ref="BB248:BB249"/>
    <mergeCell ref="BC248:BC249"/>
    <mergeCell ref="BD248:BD249"/>
    <mergeCell ref="BH248:BH249"/>
    <mergeCell ref="BI248:BI249"/>
    <mergeCell ref="BJ248:BJ249"/>
    <mergeCell ref="BK248:BK249"/>
    <mergeCell ref="BO248:BO249"/>
    <mergeCell ref="BP248:BP249"/>
    <mergeCell ref="BQ248:BQ249"/>
    <mergeCell ref="BR248:BR249"/>
    <mergeCell ref="BV248:BV249"/>
    <mergeCell ref="BW248:BW249"/>
    <mergeCell ref="BX248:BX249"/>
    <mergeCell ref="BY248:BY249"/>
    <mergeCell ref="CV248:CV249"/>
    <mergeCell ref="Z248:Z249"/>
    <mergeCell ref="AA248:AA249"/>
    <mergeCell ref="AB248:AB249"/>
    <mergeCell ref="AF248:AF249"/>
    <mergeCell ref="AG248:AG249"/>
    <mergeCell ref="AH248:AH249"/>
    <mergeCell ref="F244:F257"/>
    <mergeCell ref="V244:AB244"/>
    <mergeCell ref="AC244:CU244"/>
    <mergeCell ref="G245:G256"/>
    <mergeCell ref="V245:AB245"/>
    <mergeCell ref="AC245:CU245"/>
    <mergeCell ref="H246:H256"/>
    <mergeCell ref="I246:I255"/>
    <mergeCell ref="P246:P255"/>
    <mergeCell ref="V246:AB246"/>
    <mergeCell ref="AC246:CU246"/>
    <mergeCell ref="J247:J250"/>
    <mergeCell ref="Q247:Q250"/>
    <mergeCell ref="V247:AB247"/>
    <mergeCell ref="AC247:CU247"/>
    <mergeCell ref="K248:K249"/>
    <mergeCell ref="Y248:Y249"/>
    <mergeCell ref="AI248:AI249"/>
    <mergeCell ref="AM248:AM249"/>
    <mergeCell ref="AN248:AN249"/>
    <mergeCell ref="AO248:AO249"/>
    <mergeCell ref="AP248:AP249"/>
    <mergeCell ref="AT248:AT249"/>
    <mergeCell ref="AU248:AU249"/>
    <mergeCell ref="AV248:AV249"/>
    <mergeCell ref="BA234:BA235"/>
    <mergeCell ref="BB234:BB235"/>
    <mergeCell ref="BC234:BC235"/>
    <mergeCell ref="BD234:BD235"/>
    <mergeCell ref="BH234:BH235"/>
    <mergeCell ref="BI234:BI235"/>
    <mergeCell ref="BJ234:BJ235"/>
    <mergeCell ref="BK234:BK235"/>
    <mergeCell ref="BO234:BO235"/>
    <mergeCell ref="BP234:BP235"/>
    <mergeCell ref="BQ234:BQ235"/>
    <mergeCell ref="BR234:BR235"/>
    <mergeCell ref="BV234:BV235"/>
    <mergeCell ref="BW234:BW235"/>
    <mergeCell ref="BX234:BX235"/>
    <mergeCell ref="BY234:BY235"/>
    <mergeCell ref="CC234:CC235"/>
    <mergeCell ref="Z234:Z235"/>
    <mergeCell ref="AA234:AA235"/>
    <mergeCell ref="AB234:AB235"/>
    <mergeCell ref="AF234:AF235"/>
    <mergeCell ref="AG234:AG235"/>
    <mergeCell ref="AH234:AH235"/>
    <mergeCell ref="F230:F243"/>
    <mergeCell ref="V230:AB230"/>
    <mergeCell ref="AC230:CU230"/>
    <mergeCell ref="G231:G242"/>
    <mergeCell ref="V231:AB231"/>
    <mergeCell ref="AC231:CU231"/>
    <mergeCell ref="H232:H242"/>
    <mergeCell ref="I232:I241"/>
    <mergeCell ref="P232:P241"/>
    <mergeCell ref="V232:AB232"/>
    <mergeCell ref="AC232:CU232"/>
    <mergeCell ref="J233:J236"/>
    <mergeCell ref="Q233:Q236"/>
    <mergeCell ref="V233:AB233"/>
    <mergeCell ref="AC233:CU233"/>
    <mergeCell ref="K234:K235"/>
    <mergeCell ref="Y234:Y235"/>
    <mergeCell ref="AI234:AI235"/>
    <mergeCell ref="AM234:AM235"/>
    <mergeCell ref="AN234:AN235"/>
    <mergeCell ref="AO234:AO235"/>
    <mergeCell ref="AP234:AP235"/>
    <mergeCell ref="AT234:AT235"/>
    <mergeCell ref="AU234:AU235"/>
    <mergeCell ref="AV234:AV235"/>
    <mergeCell ref="AW234:AW235"/>
    <mergeCell ref="BO220:BO221"/>
    <mergeCell ref="BP220:BP221"/>
    <mergeCell ref="BQ220:BQ221"/>
    <mergeCell ref="BR220:BR221"/>
    <mergeCell ref="BV220:BV221"/>
    <mergeCell ref="BW220:BW221"/>
    <mergeCell ref="BX220:BX221"/>
    <mergeCell ref="BY220:BY221"/>
    <mergeCell ref="CC220:CC221"/>
    <mergeCell ref="CD220:CD221"/>
    <mergeCell ref="CE220:CE221"/>
    <mergeCell ref="CF220:CF221"/>
    <mergeCell ref="CJ220:CJ221"/>
    <mergeCell ref="CK220:CK221"/>
    <mergeCell ref="CL220:CL221"/>
    <mergeCell ref="CM220:CM221"/>
    <mergeCell ref="CV234:CV235"/>
    <mergeCell ref="CD234:CD235"/>
    <mergeCell ref="CE234:CE235"/>
    <mergeCell ref="CF234:CF235"/>
    <mergeCell ref="CJ234:CJ235"/>
    <mergeCell ref="CK234:CK235"/>
    <mergeCell ref="CL234:CL235"/>
    <mergeCell ref="CM234:CM235"/>
    <mergeCell ref="CQ234:CQ235"/>
    <mergeCell ref="CR234:CR235"/>
    <mergeCell ref="CS234:CS235"/>
    <mergeCell ref="CT234:CT235"/>
    <mergeCell ref="CV224:CV225"/>
    <mergeCell ref="BR224:BR225"/>
    <mergeCell ref="BV224:BV225"/>
    <mergeCell ref="BW224:BW225"/>
    <mergeCell ref="AI220:AI221"/>
    <mergeCell ref="AM220:AM221"/>
    <mergeCell ref="AN220:AN221"/>
    <mergeCell ref="AO220:AO221"/>
    <mergeCell ref="AP220:AP221"/>
    <mergeCell ref="AT220:AT221"/>
    <mergeCell ref="AU220:AU221"/>
    <mergeCell ref="AV220:AV221"/>
    <mergeCell ref="AW220:AW221"/>
    <mergeCell ref="BA220:BA221"/>
    <mergeCell ref="BB220:BB221"/>
    <mergeCell ref="BC220:BC221"/>
    <mergeCell ref="BD220:BD221"/>
    <mergeCell ref="BH220:BH221"/>
    <mergeCell ref="BI220:BI221"/>
    <mergeCell ref="BJ220:BJ221"/>
    <mergeCell ref="BK220:BK221"/>
    <mergeCell ref="CC206:CC207"/>
    <mergeCell ref="CD206:CD207"/>
    <mergeCell ref="CE206:CE207"/>
    <mergeCell ref="CF206:CF207"/>
    <mergeCell ref="CJ206:CJ207"/>
    <mergeCell ref="CK206:CK207"/>
    <mergeCell ref="CL206:CL207"/>
    <mergeCell ref="CM206:CM207"/>
    <mergeCell ref="CV220:CV221"/>
    <mergeCell ref="Z220:Z221"/>
    <mergeCell ref="AA220:AA221"/>
    <mergeCell ref="AB220:AB221"/>
    <mergeCell ref="AF220:AF221"/>
    <mergeCell ref="AG220:AG221"/>
    <mergeCell ref="AH220:AH221"/>
    <mergeCell ref="F216:F229"/>
    <mergeCell ref="V216:AB216"/>
    <mergeCell ref="AC216:CU216"/>
    <mergeCell ref="G217:G228"/>
    <mergeCell ref="V217:AB217"/>
    <mergeCell ref="AC217:CU217"/>
    <mergeCell ref="H218:H228"/>
    <mergeCell ref="I218:I227"/>
    <mergeCell ref="P218:P227"/>
    <mergeCell ref="V218:AB218"/>
    <mergeCell ref="AC218:CU218"/>
    <mergeCell ref="J219:J222"/>
    <mergeCell ref="Q219:Q222"/>
    <mergeCell ref="V219:AB219"/>
    <mergeCell ref="AC219:CU219"/>
    <mergeCell ref="K220:K221"/>
    <mergeCell ref="Y220:Y221"/>
    <mergeCell ref="F202:F215"/>
    <mergeCell ref="V202:AB202"/>
    <mergeCell ref="AC202:CU202"/>
    <mergeCell ref="G203:G214"/>
    <mergeCell ref="V203:AB203"/>
    <mergeCell ref="AC203:CU203"/>
    <mergeCell ref="H204:H214"/>
    <mergeCell ref="I204:I213"/>
    <mergeCell ref="P204:P213"/>
    <mergeCell ref="V204:AB204"/>
    <mergeCell ref="AC204:CU204"/>
    <mergeCell ref="J205:J208"/>
    <mergeCell ref="Q205:Q208"/>
    <mergeCell ref="V205:AB205"/>
    <mergeCell ref="AC205:CU205"/>
    <mergeCell ref="K206:K207"/>
    <mergeCell ref="Y206:Y207"/>
    <mergeCell ref="AI206:AI207"/>
    <mergeCell ref="AM206:AM207"/>
    <mergeCell ref="AN206:AN207"/>
    <mergeCell ref="AO206:AO207"/>
    <mergeCell ref="AP206:AP207"/>
    <mergeCell ref="AT206:AT207"/>
    <mergeCell ref="AU206:AU207"/>
    <mergeCell ref="AV206:AV207"/>
    <mergeCell ref="AW206:AW207"/>
    <mergeCell ref="BA206:BA207"/>
    <mergeCell ref="BB206:BB207"/>
    <mergeCell ref="BC206:BC207"/>
    <mergeCell ref="BD206:BD207"/>
    <mergeCell ref="BH206:BH207"/>
    <mergeCell ref="BI206:BI207"/>
    <mergeCell ref="BP192:BP193"/>
    <mergeCell ref="BQ192:BQ193"/>
    <mergeCell ref="BR192:BR193"/>
    <mergeCell ref="BV192:BV193"/>
    <mergeCell ref="BW192:BW193"/>
    <mergeCell ref="BX192:BX193"/>
    <mergeCell ref="BY192:BY193"/>
    <mergeCell ref="CC192:CC193"/>
    <mergeCell ref="CD192:CD193"/>
    <mergeCell ref="CE192:CE193"/>
    <mergeCell ref="CF192:CF193"/>
    <mergeCell ref="CJ192:CJ193"/>
    <mergeCell ref="CK192:CK193"/>
    <mergeCell ref="CL192:CL193"/>
    <mergeCell ref="CM192:CM193"/>
    <mergeCell ref="CV206:CV207"/>
    <mergeCell ref="Z206:Z207"/>
    <mergeCell ref="AA206:AA207"/>
    <mergeCell ref="AB206:AB207"/>
    <mergeCell ref="AF206:AF207"/>
    <mergeCell ref="AG206:AG207"/>
    <mergeCell ref="AH206:AH207"/>
    <mergeCell ref="BJ206:BJ207"/>
    <mergeCell ref="BK206:BK207"/>
    <mergeCell ref="BO206:BO207"/>
    <mergeCell ref="BP206:BP207"/>
    <mergeCell ref="BQ206:BQ207"/>
    <mergeCell ref="BR206:BR207"/>
    <mergeCell ref="BV206:BV207"/>
    <mergeCell ref="BW206:BW207"/>
    <mergeCell ref="BX206:BX207"/>
    <mergeCell ref="BY206:BY207"/>
    <mergeCell ref="AM192:AM193"/>
    <mergeCell ref="AN192:AN193"/>
    <mergeCell ref="AO192:AO193"/>
    <mergeCell ref="AP192:AP193"/>
    <mergeCell ref="AT192:AT193"/>
    <mergeCell ref="AU192:AU193"/>
    <mergeCell ref="AV192:AV193"/>
    <mergeCell ref="AW192:AW193"/>
    <mergeCell ref="BA192:BA193"/>
    <mergeCell ref="BB192:BB193"/>
    <mergeCell ref="BC192:BC193"/>
    <mergeCell ref="BD192:BD193"/>
    <mergeCell ref="BH192:BH193"/>
    <mergeCell ref="BI192:BI193"/>
    <mergeCell ref="BJ192:BJ193"/>
    <mergeCell ref="BK192:BK193"/>
    <mergeCell ref="BO192:BO193"/>
    <mergeCell ref="CD178:CD179"/>
    <mergeCell ref="CE178:CE179"/>
    <mergeCell ref="CF178:CF179"/>
    <mergeCell ref="CJ178:CJ179"/>
    <mergeCell ref="CK178:CK179"/>
    <mergeCell ref="CL178:CL179"/>
    <mergeCell ref="CM178:CM179"/>
    <mergeCell ref="CV192:CV193"/>
    <mergeCell ref="Z192:Z193"/>
    <mergeCell ref="AA192:AA193"/>
    <mergeCell ref="AB192:AB193"/>
    <mergeCell ref="AF192:AF193"/>
    <mergeCell ref="AG192:AG193"/>
    <mergeCell ref="AH192:AH193"/>
    <mergeCell ref="F188:F201"/>
    <mergeCell ref="V188:AB188"/>
    <mergeCell ref="AC188:CU188"/>
    <mergeCell ref="G189:G200"/>
    <mergeCell ref="V189:AB189"/>
    <mergeCell ref="AC189:CU189"/>
    <mergeCell ref="H190:H200"/>
    <mergeCell ref="I190:I199"/>
    <mergeCell ref="P190:P199"/>
    <mergeCell ref="V190:AB190"/>
    <mergeCell ref="AC190:CU190"/>
    <mergeCell ref="J191:J194"/>
    <mergeCell ref="Q191:Q194"/>
    <mergeCell ref="V191:AB191"/>
    <mergeCell ref="AC191:CU191"/>
    <mergeCell ref="K192:K193"/>
    <mergeCell ref="Y192:Y193"/>
    <mergeCell ref="AI192:AI193"/>
    <mergeCell ref="F174:F187"/>
    <mergeCell ref="V174:AB174"/>
    <mergeCell ref="AC174:CU174"/>
    <mergeCell ref="G175:G186"/>
    <mergeCell ref="V175:AB175"/>
    <mergeCell ref="AC175:CU175"/>
    <mergeCell ref="H176:H186"/>
    <mergeCell ref="I176:I185"/>
    <mergeCell ref="P176:P185"/>
    <mergeCell ref="V176:AB176"/>
    <mergeCell ref="AC176:CU176"/>
    <mergeCell ref="J177:J180"/>
    <mergeCell ref="Q177:Q180"/>
    <mergeCell ref="V177:AB177"/>
    <mergeCell ref="AC177:CU177"/>
    <mergeCell ref="K178:K179"/>
    <mergeCell ref="Y178:Y179"/>
    <mergeCell ref="AI178:AI179"/>
    <mergeCell ref="AM178:AM179"/>
    <mergeCell ref="AN178:AN179"/>
    <mergeCell ref="AO178:AO179"/>
    <mergeCell ref="AP178:AP179"/>
    <mergeCell ref="AT178:AT179"/>
    <mergeCell ref="AU178:AU179"/>
    <mergeCell ref="AV178:AV179"/>
    <mergeCell ref="AW178:AW179"/>
    <mergeCell ref="BA178:BA179"/>
    <mergeCell ref="BB178:BB179"/>
    <mergeCell ref="BC178:BC179"/>
    <mergeCell ref="BD178:BD179"/>
    <mergeCell ref="BH178:BH179"/>
    <mergeCell ref="BI178:BI179"/>
    <mergeCell ref="BQ164:BQ165"/>
    <mergeCell ref="BR164:BR165"/>
    <mergeCell ref="BV164:BV165"/>
    <mergeCell ref="BW164:BW165"/>
    <mergeCell ref="BX164:BX165"/>
    <mergeCell ref="BY164:BY165"/>
    <mergeCell ref="CC164:CC165"/>
    <mergeCell ref="CD164:CD165"/>
    <mergeCell ref="CE164:CE165"/>
    <mergeCell ref="CF164:CF165"/>
    <mergeCell ref="CJ164:CJ165"/>
    <mergeCell ref="CK164:CK165"/>
    <mergeCell ref="CL164:CL165"/>
    <mergeCell ref="CM164:CM165"/>
    <mergeCell ref="CV178:CV179"/>
    <mergeCell ref="Z178:Z179"/>
    <mergeCell ref="AA178:AA179"/>
    <mergeCell ref="AB178:AB179"/>
    <mergeCell ref="AF178:AF179"/>
    <mergeCell ref="AG178:AG179"/>
    <mergeCell ref="AH178:AH179"/>
    <mergeCell ref="BJ178:BJ179"/>
    <mergeCell ref="BK178:BK179"/>
    <mergeCell ref="BO178:BO179"/>
    <mergeCell ref="BP178:BP179"/>
    <mergeCell ref="BQ178:BQ179"/>
    <mergeCell ref="BR178:BR179"/>
    <mergeCell ref="BV178:BV179"/>
    <mergeCell ref="BW178:BW179"/>
    <mergeCell ref="BX178:BX179"/>
    <mergeCell ref="BY178:BY179"/>
    <mergeCell ref="CC178:CC179"/>
    <mergeCell ref="AN164:AN165"/>
    <mergeCell ref="AO164:AO165"/>
    <mergeCell ref="AP164:AP165"/>
    <mergeCell ref="AT164:AT165"/>
    <mergeCell ref="AU164:AU165"/>
    <mergeCell ref="AV164:AV165"/>
    <mergeCell ref="AW164:AW165"/>
    <mergeCell ref="BA164:BA165"/>
    <mergeCell ref="BB164:BB165"/>
    <mergeCell ref="BC164:BC165"/>
    <mergeCell ref="BD164:BD165"/>
    <mergeCell ref="BH164:BH165"/>
    <mergeCell ref="BI164:BI165"/>
    <mergeCell ref="BJ164:BJ165"/>
    <mergeCell ref="BK164:BK165"/>
    <mergeCell ref="BO164:BO165"/>
    <mergeCell ref="BP164:BP165"/>
    <mergeCell ref="CE150:CE151"/>
    <mergeCell ref="CF150:CF151"/>
    <mergeCell ref="CJ150:CJ151"/>
    <mergeCell ref="CK150:CK151"/>
    <mergeCell ref="CL150:CL151"/>
    <mergeCell ref="CM150:CM151"/>
    <mergeCell ref="CV164:CV165"/>
    <mergeCell ref="Z164:Z165"/>
    <mergeCell ref="AA164:AA165"/>
    <mergeCell ref="AB164:AB165"/>
    <mergeCell ref="AF164:AF165"/>
    <mergeCell ref="AG164:AG165"/>
    <mergeCell ref="AH164:AH165"/>
    <mergeCell ref="F160:F173"/>
    <mergeCell ref="V160:AB160"/>
    <mergeCell ref="AC160:CU160"/>
    <mergeCell ref="G161:G172"/>
    <mergeCell ref="V161:AB161"/>
    <mergeCell ref="AC161:CU161"/>
    <mergeCell ref="H162:H172"/>
    <mergeCell ref="I162:I171"/>
    <mergeCell ref="P162:P171"/>
    <mergeCell ref="V162:AB162"/>
    <mergeCell ref="AC162:CU162"/>
    <mergeCell ref="J163:J166"/>
    <mergeCell ref="Q163:Q166"/>
    <mergeCell ref="V163:AB163"/>
    <mergeCell ref="AC163:CU163"/>
    <mergeCell ref="K164:K165"/>
    <mergeCell ref="Y164:Y165"/>
    <mergeCell ref="AI164:AI165"/>
    <mergeCell ref="AM164:AM165"/>
    <mergeCell ref="F146:F159"/>
    <mergeCell ref="V146:AB146"/>
    <mergeCell ref="AC146:CU146"/>
    <mergeCell ref="G147:G158"/>
    <mergeCell ref="V147:AB147"/>
    <mergeCell ref="AC147:CU147"/>
    <mergeCell ref="H148:H158"/>
    <mergeCell ref="I148:I157"/>
    <mergeCell ref="P148:P157"/>
    <mergeCell ref="V148:AB148"/>
    <mergeCell ref="AC148:CU148"/>
    <mergeCell ref="J149:J152"/>
    <mergeCell ref="Q149:Q152"/>
    <mergeCell ref="V149:AB149"/>
    <mergeCell ref="AC149:CU149"/>
    <mergeCell ref="K150:K151"/>
    <mergeCell ref="Y150:Y151"/>
    <mergeCell ref="AI150:AI151"/>
    <mergeCell ref="AM150:AM151"/>
    <mergeCell ref="AN150:AN151"/>
    <mergeCell ref="AO150:AO151"/>
    <mergeCell ref="AP150:AP151"/>
    <mergeCell ref="AT150:AT151"/>
    <mergeCell ref="AU150:AU151"/>
    <mergeCell ref="AV150:AV151"/>
    <mergeCell ref="AW150:AW151"/>
    <mergeCell ref="BA150:BA151"/>
    <mergeCell ref="BB150:BB151"/>
    <mergeCell ref="BC150:BC151"/>
    <mergeCell ref="BD150:BD151"/>
    <mergeCell ref="BH150:BH151"/>
    <mergeCell ref="BI150:BI151"/>
    <mergeCell ref="BR136:BR137"/>
    <mergeCell ref="BV136:BV137"/>
    <mergeCell ref="BW136:BW137"/>
    <mergeCell ref="BX136:BX137"/>
    <mergeCell ref="BY136:BY137"/>
    <mergeCell ref="CC136:CC137"/>
    <mergeCell ref="CD136:CD137"/>
    <mergeCell ref="CE136:CE137"/>
    <mergeCell ref="CF136:CF137"/>
    <mergeCell ref="CJ136:CJ137"/>
    <mergeCell ref="CK136:CK137"/>
    <mergeCell ref="CL136:CL137"/>
    <mergeCell ref="CM136:CM137"/>
    <mergeCell ref="CV150:CV151"/>
    <mergeCell ref="Z150:Z151"/>
    <mergeCell ref="AA150:AA151"/>
    <mergeCell ref="AB150:AB151"/>
    <mergeCell ref="AF150:AF151"/>
    <mergeCell ref="AG150:AG151"/>
    <mergeCell ref="AH150:AH151"/>
    <mergeCell ref="BJ150:BJ151"/>
    <mergeCell ref="BK150:BK151"/>
    <mergeCell ref="BO150:BO151"/>
    <mergeCell ref="BP150:BP151"/>
    <mergeCell ref="BQ150:BQ151"/>
    <mergeCell ref="BR150:BR151"/>
    <mergeCell ref="BV150:BV151"/>
    <mergeCell ref="BW150:BW151"/>
    <mergeCell ref="BX150:BX151"/>
    <mergeCell ref="BY150:BY151"/>
    <mergeCell ref="CC150:CC151"/>
    <mergeCell ref="CD150:CD151"/>
    <mergeCell ref="AO136:AO137"/>
    <mergeCell ref="AP136:AP137"/>
    <mergeCell ref="AT136:AT137"/>
    <mergeCell ref="AU136:AU137"/>
    <mergeCell ref="AV136:AV137"/>
    <mergeCell ref="AW136:AW137"/>
    <mergeCell ref="BA136:BA137"/>
    <mergeCell ref="BB136:BB137"/>
    <mergeCell ref="BC136:BC137"/>
    <mergeCell ref="BD136:BD137"/>
    <mergeCell ref="BH136:BH137"/>
    <mergeCell ref="BI136:BI137"/>
    <mergeCell ref="BJ136:BJ137"/>
    <mergeCell ref="BK136:BK137"/>
    <mergeCell ref="BO136:BO137"/>
    <mergeCell ref="BP136:BP137"/>
    <mergeCell ref="BQ136:BQ137"/>
    <mergeCell ref="CC124:CC125"/>
    <mergeCell ref="CD124:CD125"/>
    <mergeCell ref="CE124:CE125"/>
    <mergeCell ref="CF124:CF125"/>
    <mergeCell ref="CJ124:CJ125"/>
    <mergeCell ref="CK124:CK125"/>
    <mergeCell ref="CL124:CL125"/>
    <mergeCell ref="CM124:CM125"/>
    <mergeCell ref="CV136:CV137"/>
    <mergeCell ref="Z136:Z137"/>
    <mergeCell ref="AA136:AA137"/>
    <mergeCell ref="AB136:AB137"/>
    <mergeCell ref="AF136:AF137"/>
    <mergeCell ref="AG136:AG137"/>
    <mergeCell ref="AH136:AH137"/>
    <mergeCell ref="G133:G144"/>
    <mergeCell ref="V133:AB133"/>
    <mergeCell ref="AC133:CU133"/>
    <mergeCell ref="H134:H144"/>
    <mergeCell ref="I134:I143"/>
    <mergeCell ref="P134:P143"/>
    <mergeCell ref="V134:AB134"/>
    <mergeCell ref="AC134:CU134"/>
    <mergeCell ref="J135:J138"/>
    <mergeCell ref="Q135:Q138"/>
    <mergeCell ref="V135:AB135"/>
    <mergeCell ref="AC135:CU135"/>
    <mergeCell ref="K136:K137"/>
    <mergeCell ref="Y136:Y137"/>
    <mergeCell ref="AI136:AI137"/>
    <mergeCell ref="AM136:AM137"/>
    <mergeCell ref="AN136:AN137"/>
    <mergeCell ref="AW124:AW125"/>
    <mergeCell ref="BA124:BA125"/>
    <mergeCell ref="BB124:BB125"/>
    <mergeCell ref="BC124:BC125"/>
    <mergeCell ref="BD124:BD125"/>
    <mergeCell ref="BH124:BH125"/>
    <mergeCell ref="BI124:BI125"/>
    <mergeCell ref="BJ124:BJ125"/>
    <mergeCell ref="BK124:BK125"/>
    <mergeCell ref="BO124:BO125"/>
    <mergeCell ref="BP124:BP125"/>
    <mergeCell ref="BQ124:BQ125"/>
    <mergeCell ref="BR124:BR125"/>
    <mergeCell ref="BV124:BV125"/>
    <mergeCell ref="BW124:BW125"/>
    <mergeCell ref="BX124:BX125"/>
    <mergeCell ref="BY124:BY125"/>
    <mergeCell ref="CK112:CK113"/>
    <mergeCell ref="CL112:CL113"/>
    <mergeCell ref="CM112:CM113"/>
    <mergeCell ref="CV124:CV125"/>
    <mergeCell ref="Z124:Z125"/>
    <mergeCell ref="AA124:AA125"/>
    <mergeCell ref="AB124:AB125"/>
    <mergeCell ref="AF124:AF125"/>
    <mergeCell ref="AG124:AG125"/>
    <mergeCell ref="AH124:AH125"/>
    <mergeCell ref="G121:G132"/>
    <mergeCell ref="V121:AB121"/>
    <mergeCell ref="AC121:CU121"/>
    <mergeCell ref="H122:H132"/>
    <mergeCell ref="I122:I131"/>
    <mergeCell ref="P122:P131"/>
    <mergeCell ref="V122:AB122"/>
    <mergeCell ref="AC122:CU122"/>
    <mergeCell ref="J123:J126"/>
    <mergeCell ref="Q123:Q126"/>
    <mergeCell ref="V123:AB123"/>
    <mergeCell ref="AC123:CU123"/>
    <mergeCell ref="K124:K125"/>
    <mergeCell ref="Y124:Y125"/>
    <mergeCell ref="AI124:AI125"/>
    <mergeCell ref="AM124:AM125"/>
    <mergeCell ref="AN124:AN125"/>
    <mergeCell ref="AO124:AO125"/>
    <mergeCell ref="AP124:AP125"/>
    <mergeCell ref="AT124:AT125"/>
    <mergeCell ref="AU124:AU125"/>
    <mergeCell ref="AV124:AV125"/>
    <mergeCell ref="G109:G120"/>
    <mergeCell ref="V109:AB109"/>
    <mergeCell ref="AC109:CU109"/>
    <mergeCell ref="H110:H120"/>
    <mergeCell ref="I110:I119"/>
    <mergeCell ref="P110:P119"/>
    <mergeCell ref="V110:AB110"/>
    <mergeCell ref="AC110:CU110"/>
    <mergeCell ref="J111:J114"/>
    <mergeCell ref="Q111:Q114"/>
    <mergeCell ref="V111:AB111"/>
    <mergeCell ref="AC111:CU111"/>
    <mergeCell ref="K112:K113"/>
    <mergeCell ref="Y112:Y113"/>
    <mergeCell ref="AI112:AI113"/>
    <mergeCell ref="AM112:AM113"/>
    <mergeCell ref="AN112:AN113"/>
    <mergeCell ref="AO112:AO113"/>
    <mergeCell ref="AP112:AP113"/>
    <mergeCell ref="AT112:AT113"/>
    <mergeCell ref="AU112:AU113"/>
    <mergeCell ref="AV112:AV113"/>
    <mergeCell ref="AW112:AW113"/>
    <mergeCell ref="BA112:BA113"/>
    <mergeCell ref="BB112:BB113"/>
    <mergeCell ref="BC112:BC113"/>
    <mergeCell ref="BD112:BD113"/>
    <mergeCell ref="BH112:BH113"/>
    <mergeCell ref="BI112:BI113"/>
    <mergeCell ref="BJ112:BJ113"/>
    <mergeCell ref="BK112:BK113"/>
    <mergeCell ref="BO112:BO113"/>
    <mergeCell ref="BR100:BR101"/>
    <mergeCell ref="BV100:BV101"/>
    <mergeCell ref="BW100:BW101"/>
    <mergeCell ref="BX100:BX101"/>
    <mergeCell ref="BY100:BY101"/>
    <mergeCell ref="CC100:CC101"/>
    <mergeCell ref="CD100:CD101"/>
    <mergeCell ref="CE100:CE101"/>
    <mergeCell ref="CF100:CF101"/>
    <mergeCell ref="CJ100:CJ101"/>
    <mergeCell ref="CK100:CK101"/>
    <mergeCell ref="CL100:CL101"/>
    <mergeCell ref="CM100:CM101"/>
    <mergeCell ref="CV112:CV113"/>
    <mergeCell ref="Z112:Z113"/>
    <mergeCell ref="AA112:AA113"/>
    <mergeCell ref="AB112:AB113"/>
    <mergeCell ref="AF112:AF113"/>
    <mergeCell ref="AG112:AG113"/>
    <mergeCell ref="AH112:AH113"/>
    <mergeCell ref="BP112:BP113"/>
    <mergeCell ref="BQ112:BQ113"/>
    <mergeCell ref="BR112:BR113"/>
    <mergeCell ref="BV112:BV113"/>
    <mergeCell ref="BW112:BW113"/>
    <mergeCell ref="BX112:BX113"/>
    <mergeCell ref="BY112:BY113"/>
    <mergeCell ref="CC112:CC113"/>
    <mergeCell ref="CD112:CD113"/>
    <mergeCell ref="CE112:CE113"/>
    <mergeCell ref="CF112:CF113"/>
    <mergeCell ref="CJ112:CJ113"/>
    <mergeCell ref="AO100:AO101"/>
    <mergeCell ref="AP100:AP101"/>
    <mergeCell ref="AT100:AT101"/>
    <mergeCell ref="AU100:AU101"/>
    <mergeCell ref="AV100:AV101"/>
    <mergeCell ref="AW100:AW101"/>
    <mergeCell ref="BA100:BA101"/>
    <mergeCell ref="BB100:BB101"/>
    <mergeCell ref="BC100:BC101"/>
    <mergeCell ref="BD100:BD101"/>
    <mergeCell ref="BH100:BH101"/>
    <mergeCell ref="BI100:BI101"/>
    <mergeCell ref="BJ100:BJ101"/>
    <mergeCell ref="BK100:BK101"/>
    <mergeCell ref="BO100:BO101"/>
    <mergeCell ref="BP100:BP101"/>
    <mergeCell ref="BQ100:BQ101"/>
    <mergeCell ref="CC88:CC89"/>
    <mergeCell ref="CD88:CD89"/>
    <mergeCell ref="CE88:CE89"/>
    <mergeCell ref="CF88:CF89"/>
    <mergeCell ref="CJ88:CJ89"/>
    <mergeCell ref="CK88:CK89"/>
    <mergeCell ref="CL88:CL89"/>
    <mergeCell ref="CM88:CM89"/>
    <mergeCell ref="CV100:CV101"/>
    <mergeCell ref="Z100:Z101"/>
    <mergeCell ref="AA100:AA101"/>
    <mergeCell ref="AB100:AB101"/>
    <mergeCell ref="AF100:AF101"/>
    <mergeCell ref="AG100:AG101"/>
    <mergeCell ref="AH100:AH101"/>
    <mergeCell ref="G97:G108"/>
    <mergeCell ref="V97:AB97"/>
    <mergeCell ref="AC97:CU97"/>
    <mergeCell ref="H98:H108"/>
    <mergeCell ref="I98:I107"/>
    <mergeCell ref="P98:P107"/>
    <mergeCell ref="V98:AB98"/>
    <mergeCell ref="AC98:CU98"/>
    <mergeCell ref="J99:J102"/>
    <mergeCell ref="Q99:Q102"/>
    <mergeCell ref="V99:AB99"/>
    <mergeCell ref="AC99:CU99"/>
    <mergeCell ref="K100:K101"/>
    <mergeCell ref="Y100:Y101"/>
    <mergeCell ref="AI100:AI101"/>
    <mergeCell ref="AM100:AM101"/>
    <mergeCell ref="AN100:AN101"/>
    <mergeCell ref="AW88:AW89"/>
    <mergeCell ref="BA88:BA89"/>
    <mergeCell ref="BB88:BB89"/>
    <mergeCell ref="BC88:BC89"/>
    <mergeCell ref="BD88:BD89"/>
    <mergeCell ref="BH88:BH89"/>
    <mergeCell ref="BI88:BI89"/>
    <mergeCell ref="BJ88:BJ89"/>
    <mergeCell ref="BK88:BK89"/>
    <mergeCell ref="BO88:BO89"/>
    <mergeCell ref="BP88:BP89"/>
    <mergeCell ref="BQ88:BQ89"/>
    <mergeCell ref="BR88:BR89"/>
    <mergeCell ref="BV88:BV89"/>
    <mergeCell ref="BW88:BW89"/>
    <mergeCell ref="BX88:BX89"/>
    <mergeCell ref="BY88:BY89"/>
    <mergeCell ref="CV88:CV89"/>
    <mergeCell ref="Z88:Z89"/>
    <mergeCell ref="AA88:AA89"/>
    <mergeCell ref="AB88:AB89"/>
    <mergeCell ref="AF88:AF89"/>
    <mergeCell ref="AG88:AG89"/>
    <mergeCell ref="AH88:AH89"/>
    <mergeCell ref="F84:F145"/>
    <mergeCell ref="V84:AB84"/>
    <mergeCell ref="AC84:CU84"/>
    <mergeCell ref="G85:G96"/>
    <mergeCell ref="V85:AB85"/>
    <mergeCell ref="AC85:CU85"/>
    <mergeCell ref="H86:H96"/>
    <mergeCell ref="I86:I95"/>
    <mergeCell ref="P86:P95"/>
    <mergeCell ref="V86:AB86"/>
    <mergeCell ref="AC86:CU86"/>
    <mergeCell ref="J87:J90"/>
    <mergeCell ref="Q87:Q90"/>
    <mergeCell ref="V87:AB87"/>
    <mergeCell ref="AC87:CU87"/>
    <mergeCell ref="K88:K89"/>
    <mergeCell ref="Y88:Y89"/>
    <mergeCell ref="AI88:AI89"/>
    <mergeCell ref="AM88:AM89"/>
    <mergeCell ref="AN88:AN89"/>
    <mergeCell ref="AO88:AO89"/>
    <mergeCell ref="AP88:AP89"/>
    <mergeCell ref="AT88:AT89"/>
    <mergeCell ref="AU88:AU89"/>
    <mergeCell ref="AV88:AV89"/>
    <mergeCell ref="BK74:BK75"/>
    <mergeCell ref="BO74:BO75"/>
    <mergeCell ref="BP74:BP75"/>
    <mergeCell ref="BQ74:BQ75"/>
    <mergeCell ref="BR74:BR75"/>
    <mergeCell ref="BV74:BV75"/>
    <mergeCell ref="BW74:BW75"/>
    <mergeCell ref="BX74:BX75"/>
    <mergeCell ref="BY74:BY75"/>
    <mergeCell ref="CC74:CC75"/>
    <mergeCell ref="CD74:CD75"/>
    <mergeCell ref="CE74:CE75"/>
    <mergeCell ref="CF74:CF75"/>
    <mergeCell ref="CJ74:CJ75"/>
    <mergeCell ref="CK74:CK75"/>
    <mergeCell ref="CL74:CL75"/>
    <mergeCell ref="CM74:CM75"/>
    <mergeCell ref="Y74:Y75"/>
    <mergeCell ref="AI74:AI75"/>
    <mergeCell ref="AM74:AM75"/>
    <mergeCell ref="AN74:AN75"/>
    <mergeCell ref="AO74:AO75"/>
    <mergeCell ref="AP74:AP75"/>
    <mergeCell ref="AT74:AT75"/>
    <mergeCell ref="AU74:AU75"/>
    <mergeCell ref="AV74:AV75"/>
    <mergeCell ref="AW74:AW75"/>
    <mergeCell ref="BA74:BA75"/>
    <mergeCell ref="BB74:BB75"/>
    <mergeCell ref="BC74:BC75"/>
    <mergeCell ref="BD74:BD75"/>
    <mergeCell ref="BH74:BH75"/>
    <mergeCell ref="BI74:BI75"/>
    <mergeCell ref="BJ74:BJ75"/>
    <mergeCell ref="BY60:BY61"/>
    <mergeCell ref="CC60:CC61"/>
    <mergeCell ref="CD60:CD61"/>
    <mergeCell ref="CE60:CE61"/>
    <mergeCell ref="CF60:CF61"/>
    <mergeCell ref="CJ60:CJ61"/>
    <mergeCell ref="CK60:CK61"/>
    <mergeCell ref="CL60:CL61"/>
    <mergeCell ref="CM60:CM61"/>
    <mergeCell ref="CV74:CV75"/>
    <mergeCell ref="Z74:Z75"/>
    <mergeCell ref="AA74:AA75"/>
    <mergeCell ref="AB74:AB75"/>
    <mergeCell ref="AF74:AF75"/>
    <mergeCell ref="AG74:AG75"/>
    <mergeCell ref="AH74:AH75"/>
    <mergeCell ref="F70:F83"/>
    <mergeCell ref="V70:AB70"/>
    <mergeCell ref="AC70:CU70"/>
    <mergeCell ref="G71:G82"/>
    <mergeCell ref="V71:AB71"/>
    <mergeCell ref="AC71:CU71"/>
    <mergeCell ref="H72:H82"/>
    <mergeCell ref="I72:I81"/>
    <mergeCell ref="P72:P81"/>
    <mergeCell ref="V72:AB72"/>
    <mergeCell ref="AC72:CU72"/>
    <mergeCell ref="J73:J76"/>
    <mergeCell ref="Q73:Q76"/>
    <mergeCell ref="V73:AB73"/>
    <mergeCell ref="AC73:CU73"/>
    <mergeCell ref="K74:K75"/>
    <mergeCell ref="AV60:AV61"/>
    <mergeCell ref="AW60:AW61"/>
    <mergeCell ref="BA60:BA61"/>
    <mergeCell ref="BB60:BB61"/>
    <mergeCell ref="BC60:BC61"/>
    <mergeCell ref="BD60:BD61"/>
    <mergeCell ref="BH60:BH61"/>
    <mergeCell ref="BI60:BI61"/>
    <mergeCell ref="BJ60:BJ61"/>
    <mergeCell ref="BK60:BK61"/>
    <mergeCell ref="BO60:BO61"/>
    <mergeCell ref="BP60:BP61"/>
    <mergeCell ref="BQ60:BQ61"/>
    <mergeCell ref="BR60:BR61"/>
    <mergeCell ref="BV60:BV61"/>
    <mergeCell ref="BW60:BW61"/>
    <mergeCell ref="BX60:BX61"/>
    <mergeCell ref="CM50:CM51"/>
    <mergeCell ref="CV60:CV61"/>
    <mergeCell ref="Z60:Z61"/>
    <mergeCell ref="AA60:AA61"/>
    <mergeCell ref="AB60:AB61"/>
    <mergeCell ref="AF60:AF61"/>
    <mergeCell ref="AG60:AG61"/>
    <mergeCell ref="AH60:AH61"/>
    <mergeCell ref="F56:F69"/>
    <mergeCell ref="V56:AB56"/>
    <mergeCell ref="AC56:CU56"/>
    <mergeCell ref="G57:G68"/>
    <mergeCell ref="V57:AB57"/>
    <mergeCell ref="AC57:CU57"/>
    <mergeCell ref="H58:H68"/>
    <mergeCell ref="I58:I67"/>
    <mergeCell ref="P58:P67"/>
    <mergeCell ref="V58:AB58"/>
    <mergeCell ref="AC58:CU58"/>
    <mergeCell ref="J59:J62"/>
    <mergeCell ref="Q59:Q62"/>
    <mergeCell ref="V59:AB59"/>
    <mergeCell ref="AC59:CU59"/>
    <mergeCell ref="K60:K61"/>
    <mergeCell ref="Y60:Y61"/>
    <mergeCell ref="AI60:AI61"/>
    <mergeCell ref="AM60:AM61"/>
    <mergeCell ref="AN60:AN61"/>
    <mergeCell ref="AO60:AO61"/>
    <mergeCell ref="AP60:AP61"/>
    <mergeCell ref="AT60:AT61"/>
    <mergeCell ref="AU60:AU61"/>
    <mergeCell ref="CC46:CC47"/>
    <mergeCell ref="CD46:CD47"/>
    <mergeCell ref="CE46:CE47"/>
    <mergeCell ref="CF46:CF47"/>
    <mergeCell ref="CC50:CC51"/>
    <mergeCell ref="CD50:CD51"/>
    <mergeCell ref="CE50:CE51"/>
    <mergeCell ref="CF50:CF51"/>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BR50:BR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BH46:BH47"/>
    <mergeCell ref="BI46:BI47"/>
    <mergeCell ref="BJ46:BJ47"/>
    <mergeCell ref="BK46:BK47"/>
    <mergeCell ref="BH50:BH51"/>
    <mergeCell ref="BI50:BI51"/>
    <mergeCell ref="BJ50:BJ51"/>
    <mergeCell ref="BK50:BK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F50:AF51"/>
    <mergeCell ref="AG50:AG51"/>
    <mergeCell ref="AH50:AH51"/>
    <mergeCell ref="J49:J52"/>
    <mergeCell ref="Q49:Q52"/>
    <mergeCell ref="V49:AB49"/>
    <mergeCell ref="AC49:CU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CV46:CV47"/>
    <mergeCell ref="T287:CV287"/>
    <mergeCell ref="T289:CV289"/>
    <mergeCell ref="K46:K47"/>
    <mergeCell ref="AF46:AF47"/>
    <mergeCell ref="Z40:AA40"/>
    <mergeCell ref="AG40:AH40"/>
    <mergeCell ref="E41:E284"/>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50:CV51"/>
    <mergeCell ref="Z50:Z51"/>
    <mergeCell ref="AA50:AA51"/>
    <mergeCell ref="AB50:AB51"/>
  </mergeCells>
  <dataValidations count="8">
    <dataValidation allowBlank="1" promptTitle="checkPeriodRange" sqref="X65811 X131347 X196883 X262419 X327955 X393491 X459027 X524563 X590099 X655635 X721171 X786707 X852243 X917779 X983315 AE16 AE65811 AE131347 AE196883 AE262419 AE327955 AE393491 AE459027 AE524563 AE590099 AE655635 AE721171 AE786707 AE852243 AE917779 AE983315 AE47 AE8 X8 X47 X51 AE51 AL8 AL47 AL51 AS8 AS47 AS51 AZ8 AZ47 AZ51 BG8 BG47 BG51 BN8 BN47 BN51 BU8 BU47 BU51 CB8 CB47 CB51 CI8 CI47 CI51 X61 AE61 AL61 AS61 AZ61 BG61 BN61 BU61 CB61 CI61 X75 AE75 AL75 AS75 AZ75 BG75 BN75 BU75 CB75 CI75 X89 AE89 AL89 AS89 AZ89 BG89 BN89 BU89 CB89 CI89 X101 AE101 AL101 AS101 AZ101 BG101 BN101 BU101 CB101 CI101 X113 AE113 AL113 AS113 AZ113 BG113 BN113 BU113 CB113 CI113 X125 AE125 AL125 AS125 AZ125 BG125 BN125 BU125 CB125 CI125 X137 AE137 AL137 AS137 AZ137 BG137 BN137 BU137 CB137 CI137 X151 AE151 AL151 AS151 AZ151 BG151 BN151 BU151 CB151 CI151 X165 AE165 AL165 AS165 AZ165 BG165 BN165 BU165 CB165 CI165 X179 AE179 AL179 AS179 AZ179 BG179 BN179 BU179 CB179 CI179 X193 AE193 AL193 AS193 AZ193 BG193 BN193 BU193 CB193 CI193 X207 AE207 AL207 AS207 AZ207 BG207 BN207 BU207 CB207 CI207 X221 AE221 AL221 AS221 AZ221 BG221 BN221 BU221 CB221 CI221 X235 AE235 AL235 AS235 AZ235 BG235 BN235 BU235 CB235 CI235 X249 AE249 AL249 AS249 AZ249 BG249 BN249 BU249 CB249 CI249 X263 AE263 AL263 AS263 AZ263 BG263 BN263 BU263 CB263 CI263 X275 AE275 AL275 AS275 AZ275 BG275 BN275 BU275 CB275 CI275 CP8 CP47 CP51 CP61 CP75 CP89 CP101 CP113 CP125 CP137 CP151 CP165 CP179 CP193 CP207 CP221 CP235 CP249 CP263 CP275 X65 AE65 AL65 AS65 AZ65 BG65 BN65 BU65 CB65 CI65 CP65 X79 AE79 AL79 AS79 AZ79 BG79 BN79 BU79 CB79 CI79 CP79 X93 AE93 AL93 AS93 AZ93 BG93 BN93 BU93 CB93 CI93 CP93 X105 AE105 AL105 AS105 AZ105 BG105 BN105 BU105 CB105 CI105 CP105 X129 AE129 AL129 AS129 AZ129 BG129 BN129 BU129 CB129 CI129 CP129 X117 AE117 AL117 AS117 AZ117 BG117 BN117 BU117 CB117 CI117 CP117 X141 AE141 AL141 AS141 AZ141 BG141 BN141 BU141 CB141 CI141 CP141 X155 AE155 AL155 AS155 AZ155 BG155 BN155 BU155 CB155 CI155 CP155 X169 AE169 AL169 AS169 AZ169 BG169 BN169 BU169 CB169 CI169 CP169 X183 AE183 AL183 AS183 AZ183 BG183 BN183 BU183 CB183 CI183 CP183 X197 AE197 AL197 AS197 AZ197 BG197 BN197 BU197 CB197 CI197 CP197 X211 AE211 AL211 AS211 AZ211 BG211 BN211 BU211 CB211 CI211 CP211 X225 AE225 AL225 AS225 AZ225 BG225 BN225 BU225 CB225 CI225 CP225 X239 AE239 AL239 AS239 AZ239 BG239 BN239 BU239 CB239 CI239 CP239 X253 AE253 AL253 AS253 AZ253 BG253 BN253 BU253 CB253 CI253 CP253 X267 AE267 AL267 AS267 AZ267 BG267 BN267 BU267 CB267 CI267 CP267 X279 AE279 AL279 AS279 AZ279 BG279 BN279 BU279 CB279 CI279 CP279"/>
    <dataValidation type="list" allowBlank="1" showInputMessage="1" showErrorMessage="1" errorTitle="Ошибка" error="Выберите значение из списка" sqref="V983312 V65808 V131344 V196880 V262416 V327952 V393488 V459024 V524560 V590096 V655632 V721168 V786704 V852240 V917776 AC983312 AC65808 AC131344 AC196880 AC262416 AC327952 AC393488 AC459024 AC524560 AC590096 AC655632 AC721168 AC786704 AC852240 AC917776">
      <formula1>kind_of_scheme_in</formula1>
    </dataValidation>
    <dataValidation type="textLength" operator="lessThanOrEqual" allowBlank="1" showInputMessage="1" showErrorMessage="1" errorTitle="Ошибка" error="Допускается ввод не более 900 символов!" sqref="CV65804:CV65811 CV131340:CV131347 CV196876:CV196883 CV262412:CV262419 CV327948:CV327955 CV393484:CV393491 CV459020:CV459027 CV524556:CV524563 CV590092:CV590099 CV655628:CV655635 CV721164:CV721171 CV786700:CV786707 CV852236:CV852243 CV917772:CV917779 CV983308:CV983315 T46 T7 AC5:AI5 CU5 AC44:AI44 CU44 T50 AC58 AD58 AE58 AF58 AG58 AH58 AI58 CU58 T60 AC72 AD72 AE72 AF72 AG72 AH72 AI72 CU72 T74 AC86 AD86 AE86 AF86 AG86 AH86 AI86 CU86 T88 AC98 AD98 AE98 AF98 AG98 AH98 AI98 CU98 T100 AC110 AD110 AE110 AF110 AG110 AH110 AI110 CU110 T112 AC122 AD122 AE122 AF122 AG122 AH122 AI122 CU122 T124 AC134 AD134 AE134 AF134 AG134 AH134 AI134 CU134 T136 AC148 AD148 AE148 AF148 AG148 AH148 AI148 CU148 T150 AC162 AD162 AE162 AF162 AG162 AH162 AI162 CU162 T164 AC176 AD176 AE176 AF176 AG176 AH176 AI176 CU176 T178 AC190 AD190 AE190 AF190 AG190 AH190 AI190 CU190 T192 AC204 AD204 AE204 AF204 AG204 AH204 AI204 CU204 T206 AC218 AD218 AE218 AF218 AG218 AH218 AI218 CU218 T220 AC232 AD232 AE232 AF232 AG232 AH232 AI232 CU232 T234 AC246 AD246 AE246 AF246 AG246 AH246 AI246 CU246 T248 AC260 AD260 AE260 AF260 AG260 AH260 AI260 CU260 T262 AC272 AD272 AE272 AF272 AG272 AH272 AI272 CU272 T274 T64 T78 T92 T104 T128 T116 T140 T154 T168 T182 T196 T210 T224 T238 T252 T266 T278">
      <formula1>900</formula1>
    </dataValidation>
    <dataValidation type="list" allowBlank="1" showInputMessage="1" showErrorMessage="1" errorTitle="Ошибка" error="Выберите значение из списка" sqref="T65810 T131346 T196882 T262418 T327954 T393490 T459026 T524562 T590098 T655634 T721170 T786706 T852242 T917778 T98331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810 Y131346 Y196882 Y262418 Y327954 Y393490 Y459026 Y524562 Y590098 Y655634 Y721170 Y786706 Y852242 Y917778 Y983314 AA65810 AA131346 AA196882 AA262418 AA327954 AA393490 AA459026 AA524562 AA590098 AA655634 AA721170 AA786706 AA852242 AA917778 AA983314 AF15 AF65810 AF131346 AF196882 AF262418 AF327954 AF393490 AF459026 AF524562 AF590098 AF655634 AF721170 AF786706 AF852242 AF917778 AF983314 AH65810 AH131346 AH196882 AH262418 AH327954 AH393490 AH459026 AH524562 AH590098 AH655634 AH721170 AH786706 AH852242 AH917778 AH983314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Y60 AA60 AF60 AH60 AM60 AO60 AT60 AV60 BA60 BC60 BH60 BJ60 BO60 BQ60 BV60 BX60 CC60 CE60 CJ60 CL60 Y74 AA74 AF74 AH74 AM74 AO74 AT74 AV74 BA74 BC74 BH74 BJ74 BO74 BQ74 BV74 BX74 CC74 CE74 CJ74 CL74 Y88 AA88 AF88 AH88 AM88 AO88 AT88 AV88 BA88 BC88 BH88 BJ88 BO88 BQ88 BV88 BX88 CC88 CE88 CJ88 CL88 Y100 AA100 AF100 AH100 AM100 AO100 AT100 AV100 BA100 BC100 BH100 BJ100 BO100 BQ100 BV100 BX100 CC100 CE100 CJ100 CL100 Y112 AA112 AF112 AH112 AM112 AO112 AT112 AV112 BA112 BC112 BH112 BJ112 BO112 BQ112 BV112 BX112 CC112 CE112 CJ112 CL112 Y124 AA124 AF124 AH124 AM124 AO124 AT124 AV124 BA124 BC124 BH124 BJ124 BO124 BQ124 BV124 BX124 CC124 CE124 CJ124 CL124 Y136 AA136 AF136 AH136 AM136 AO136 AT136 AV136 BA136 BC136 BH136 BJ136 BO136 BQ136 BV136 BX136 CC136 CE136 CJ136 CL136 Y150 AA150 AF150 AH150 AM150 AO150 AT150 AV150 BA150 BC150 BH150 BJ150 BO150 BQ150 BV150 BX150 CC150 CE150 CJ150 CL150 Y164 AA164 AF164 AH164 AM164 AO164 AT164 AV164 BA164 BC164 BH164 BJ164 BO164 BQ164 BV164 BX164 CC164 CE164 CJ164 CL164 Y178 AA178 AF178 AH178 AM178 AO178 AT178 AV178 BA178 BC178 BH178 BJ178 BO178 BQ178 BV178 BX178 CC178 CE178 CJ178 CL178 Y192 AA192 AF192 AH192 AM192 AO192 AT192 AV192 BA192 BC192 BH192 BJ192 BO192 BQ192 BV192 BX192 CC192 CE192 CJ192 CL192 Y206 AA206 AF206 AH206 AM206 AO206 AT206 AV206 BA206 BC206 BH206 BJ206 BO206 BQ206 BV206 BX206 CC206 CE206 CJ206 CL206 Y220 AA220 AF220 AH220 AM220 AO220 AT220 AV220 BA220 BC220 BH220 BJ220 BO220 BQ220 BV220 BX220 CC220 CE220 CJ220 CL220 Y234 AA234 AF234 AH234 AM234 AO234 AT234 AV234 BA234 BC234 BH234 BJ234 BO234 BQ234 BV234 BX234 CC234 CE234 CJ234 CL234 Y248 AA248 AF248 AH248 AM248 AO248 AT248 AV248 BA248 BC248 BH248 BJ248 BO248 BQ248 BV248 BX248 CC248 CE248 CJ248 CL248 Y262 AA262 AF262 AH262 AM262 AO262 AT262 AV262 BA262 BC262 BH262 BJ262 BO262 BQ262 BV262 BX262 CC262 CE262 CJ262 CL262 Y274 AA274 AF274 AH274 AM274 AO274 AT274 AV274 BA274 BC274 BH274 BJ274 BO274 BQ274 BV274 BX274 CC274 CE274 CJ274 CL274 CQ7 CS7 CQ46 CS46 CQ50 CS50 CQ60 CS60 CQ74 CS74 CQ88 CS88 CQ100 CS100 CQ112 CS112 CQ124 CS124 CQ136 CS136 CQ150 CS150 CQ164 CS164 CQ178 CS178 CQ192 CS192 CQ206 CS206 CQ220 CS220 CQ234 CS234 CQ248 CS248 CQ262 CS262 CQ274 CS274 Y64 AA64 AF64 AH64 AM64 AO64 AT64 AV64 BA64 BC64 BH64 BJ64 BO64 BQ64 BV64 BX64 CC64 CE64 CJ64 CL64 CQ64 CS64 Y78 AA78 AF78 AH78 AM78 AO78 AT78 AV78 BA78 BC78 BH78 BJ78 BO78 BQ78 BV78 BX78 CC78 CE78 CJ78 CL78 CQ78 CS78 Y92 AA92 AF92 AH92 AM92 AO92 AT92 AV92 BA92 BC92 BH92 BJ92 BO92 BQ92 BV92 BX92 CC92 CE92 CJ92 CL92 CQ92 CS92 Y104 AA104 AF104 AH104 AM104 AO104 AT104 AV104 BA104 BC104 BH104 BJ104 BO104 BQ104 BV104 BX104 CC104 CE104 CJ104 CL104 CQ104 CS104 Y128 AA128 AF128 AH128 AM128 AO128 AT128 AV128 BA128 BC128 BH128 BJ128 BO128 BQ128 BV128 BX128 CC128 CE128 CJ128 CL128 CQ128 CS128 Y116 AA116 AF116 AH116 AM116 AO116 AT116 AV116 BA116 BC116 BH116 BJ116 BO116 BQ116 BV116 BX116 CC116 CE116 CJ116 CL116 CQ116 CS116 Y140 AA140 AF140 AH140 AM140 AO140 AT140 AV140 BA140 BC140 BH140 BJ140 BO140 BQ140 BV140 BX140 CC140 CE140 CJ140 CL140 CQ140 CS140 Y154 AA154 AF154 AH154 AM154 AO154 AT154 AV154 BA154 BC154 BH154 BJ154 BO154 BQ154 BV154 BX154 CC154 CE154 CJ154 CL154 CQ154 CS154 Y168 AA168 AF168 AH168 AM168 AO168 AT168 AV168 BA168 BC168 BH168 BJ168 BO168 BQ168 BV168 BX168 CC168 CE168 CJ168 CL168 CQ168 CS168 Y182 AA182 AF182 AH182 AM182 AO182 AT182 AV182 BA182 BC182 BH182 BJ182 BO182 BQ182 BV182 BX182 CC182 CE182 CJ182 CL182 CQ182 CS182 Y196 AA196 AF196 AH196 AM196 AO196 AT196 AV196 BA196 BC196 BH196 BJ196 BO196 BQ196 BV196 BX196 CC196 CE196 CJ196 CL196 CQ196 CS196 Y210 AA210 AF210 AH210 AM210 AO210 AT210 AV210 BA210 BC210 BH210 BJ210 BO210 BQ210 BV210 BX210 CC210 CE210 CJ210 CL210 CQ210 CS210 Y224 AA224 AF224 AH224 AM224 AO224 AT224 AV224 BA224 BC224 BH224 BJ224 BO224 BQ224 BV224 BX224 CC224 CE224 CJ224 CL224 CQ224 CS224 Y238 AA238 AF238 AH238 AM238 AO238 AT238 AV238 BA238 BC238 BH238 BJ238 BO238 BQ238 BV238 BX238 CC238 CE238 CJ238 CL238 CQ238 CS238 Y252 AA252 AF252 AH252 AM252 AO252 AT252 AV252 BA252 BC252 BH252 BJ252 BO252 BQ252 BV252 BX252 CC252 CE252 CJ252 CL252 CQ252 CS252 Y266 AA266 AF266 AH266 AM266 AO266 AT266 AV266 BA266 BC266 BH266 BJ266 BO266 BQ266 BV266 BX266 CC266 CE266 CJ266 CL266 CQ266 CS266 Y278 AA278 AF278 AH278 AM278 AO278 AT278 AV278 BA278 BC278 BH278 BJ278 BO278 BQ278 BV278 BX278 CC278 CE278 CJ278 CL278 CQ278 CS278"/>
    <dataValidation allowBlank="1" showInputMessage="1" showErrorMessage="1" prompt="Для выбора выполните двойной щелчок левой клавиши мыши по соответствующей ячейке." sqref="Z65810 Z131346 Z196882 Z262418 Z327954 Z393490 Z459026 Z524562 Z590098 Z655634 Z721170 Z786706 Z852242 Z917778 Z983314 AB131346 AB459026 AB196882 AB262418 AB327954 AB393490 AB524562 AB590098 AB655634 AB721170 AB786706 AB852242 AB917778 AB983314 AB65810 AG65810 AG131346 AG196882 AG262418 AG327954 AG393490 AG459026 AG524562 AG590098 AG655634 AG721170 AG786706 AG852242 AG917778 AG983314 AI524562:CT524562 AI196882:CT196882 AI590098:CT590098 AI655634:CT655634 AI15 AI721170:CT721170 AI786706:CT786706 AI852242:CT852242 AI917778:CT917778 AI983314:CT983314 AI65810:CT65810 AI131346:CT131346 AI459026:CT459026 AI262418:CT262418 AI7 AN7 AP7 AU7 AW7 BB7 BD7 BI7 BK7 BP7 BR7 BW7 BY7 CD7 CF7 CK7 CM7 CR7 CT7 AG46 AI327954:CT327954 AG15 AG7 Z7 AB7 AI393490:CT393490 AI46 AN46 AP46 AU46 AW46 BB46 BD46 BI46 BK46 BP46 BR46 BW46 BY46 CD46 CF46 CK46 CM46 CR46 CT46 Z46 AB46 Z50 AB50 AG50 AI50 AN50 AP50 AU50 AW50 BB50 BD50 BI50 BK50 BP50 BR50 BW50 BY50 CD50 CF50 CK50 CM50 CR50 CT50 Z60 AB60 AG60 AI60 AN60 AP60 AU60 AW60 BB60 BD60 BI60 BK60 BP60 BR60 BW60 BY60 CD60 CF60 CK60 CM60 CR60 CT60 Z74 AB74 AG74 AI74 AN74 AP74 AU74 AW74 BB74 BD74 BI74 BK74 BP74 BR74 BW74 BY74 CD74 CF74 CK74 CM74 CR74 CT74 Z88 AB88 AG88 AI88 AN88 AP88 AU88 AW88 BB88 BD88 BI88 BK88 BP88 BR88 BW88 BY88 CD88 CF88 CK88 CM88 CR88 CT88 Z100 AB100 AG100 AI100 AN100 AP100 AU100 AW100 BB100 BD100 BI100 BK100 BP100 BR100 BW100 BY100 CD100 CF100 CK100 CM100 CR100 CT100 Z112 AB112 AG112 AI112 AN112 AP112 AU112 AW112 BB112 BD112 BI112 BK112 BP112 BR112 BW112 BY112 CD112 CF112 CK112 CM112 CR112 CT112 Z124 AB124 AG124 AI124 AN124 AP124 AU124 AW124 BB124 BD124 BI124 BK124 BP124 BR124 BW124 BY124 CD124 CF124 CK124 CM124 CR124 CT124 Z136 AB136 AG136 AI136 AN136 AP136 AU136 AW136 BB136 BD136 BI136 BK136 BP136 BR136 BW136 BY136 CD136 CF136 CK136 CM136 CR136 CT136 Z150 AB150 AG150 AI150 AN150 AP150 AU150 AW150 BB150 BD150 BI150 BK150 BP150 BR150 BW150 BY150 CD150 CF150 CK150 CM150 CR150 CT150 Z164 AB164 AG164 AI164 AN164 AP164 AU164 AW164 BB164 BD164 BI164 BK164 BP164 BR164 BW164 BY164 CD164 CF164 CK164 CM164 CR164 CT164 Z178 AB178 AG178 AI178 AN178 AP178 AU178 AW178 BB178 BD178 BI178 BK178 BP178 BR178 BW178 BY178 CD178 CF178 CK178 CM178 CR178 CT178 Z192 AB192 AG192 AI192 AN192 AP192 AU192 AW192 BB192 BD192 BI192 BK192 BP192 BR192 BW192 BY192 CD192 CF192 CK192 CM192 CR192 CT192 Z206 AB206 AG206 AI206 AN206 AP206 AU206 AW206 BB206 BD206 BI206 BK206 BP206 BR206 BW206 BY206 CD206 CF206 CK206 CM206 CR206 CT206 Z220 AB220 AG220 AI220 AN220 AP220 AU220 AW220 BB220 BD220 BI220 BK220 BP220 BR220 BW220 BY220 CD220 CF220 CK220 CM220 CR220 CT220 Z234 AB234 AG234 AI234 AN234 AP234 AU234 AW234 BB234 BD234 BI234 BK234 BP234 BR234 BW234 BY234 CD234 CF234 CK234 CM234 CR234 CT234 Z248 AB248 AG248 AI248 AN248 AP248 AU248 AW248 BB248 BD248 BI248 BK248 BP248 BR248 BW248 BY248 CD248 CF248 CK248 CM248 CR248 CT248 Z262 AB262 AG262 AI262 AN262 AP262 AU262 AW262 BB262 BD262 BI262 BK262 BP262 BR262 BW262 BY262 CD262 CF262 CK262 CM262 CR262 CT262 Z274 AB274 AG274 AI274 AN274 AP274 AU274 AW274 BB274 BD274 BI274 BK274 BP274 BR274 BW274 BY274 CD274 CF274 CK274 CM274 CR274 CT274 Z64 AB64 AG64 AI64 AN64 AP64 AU64 AW64 BB64 BD64 BI64 BK64 BP64 BR64 BW64 BY64 CD64 CF64 CK64 CM64 CR64 CT64 Z78 AB78 AG78 AI78 AN78 AP78 AU78 AW78 BB78 BD78 BI78 BK78 BP78 BR78 BW78 BY78 CD78 CF78 CK78 CM78 CR78 CT78 Z92 AB92 AG92 AI92 AN92 AP92 AU92 AW92 BB92 BD92 BI92 BK92 BP92 BR92 BW92 BY92 CD92 CF92 CK92 CM92 CR92 CT92 Z104 AB104 AG104 AI104 AN104 AP104 AU104 AW104 BB104 BD104 BI104 BK104 BP104 BR104 BW104 BY104 CD104 CF104 CK104 CM104 CR104 CT104 Z128 AB128 AG128 AI128 AN128 AP128 AU128 AW128 BB128 BD128 BI128 BK128 BP128 BR128 BW128 BY128 CD128 CF128 CK128 CM128 CR128 CT128 Z116 AB116 AG116 AI116 AN116 AP116 AU116 AW116 BB116 BD116 BI116 BK116 BP116 BR116 BW116 BY116 CD116 CF116 CK116 CM116 CR116 CT116 Z140 AB140 AG140 AI140 AN140 AP140 AU140 AW140 BB140 BD140 BI140 BK140 BP140 BR140 BW140 BY140 CD140 CF140 CK140 CM140 CR140 CT140 Z154 AB154 AG154 AI154 AN154 AP154 AU154 AW154 BB154 BD154 BI154 BK154 BP154 BR154 BW154 BY154 CD154 CF154 CK154 CM154 CR154 CT154 Z168 AB168 AG168 AI168 AN168 AP168 AU168 AW168 BB168 BD168 BI168 BK168 BP168 BR168 BW168 BY168 CD168 CF168 CK168 CM168 CR168 CT168 Z182 AB182 AG182 AI182 AN182 AP182 AU182 AW182 BB182 BD182 BI182 BK182 BP182 BR182 BW182 BY182 CD182 CF182 CK182 CM182 CR182 CT182 Z196 AB196 AG196 AI196 AN196 AP196 AU196 AW196 BB196 BD196 BI196 BK196 BP196 BR196 BW196 BY196 CD196 CF196 CK196 CM196 CR196 CT196 Z210 AB210 AG210 AI210 AN210 AP210 AU210 AW210 BB210 BD210 BI210 BK210 BP210 BR210 BW210 BY210 CD210 CF210 CK210 CM210 CR210 CT210 Z224 AB224 AG224 AI224 AN224 AP224 AU224 AW224 BB224 BD224 BI224 BK224 BP224 BR224 BW224 BY224 CD224 CF224 CK224 CM224 CR224 CT224 Z238 AB238 AG238 AI238 AN238 AP238 AU238 AW238 BB238 BD238 BI238 BK238 BP238 BR238 BW238 BY238 CD238 CF238 CK238 CM238 CR238 CT238 Z252 AB252 AG252 AI252 AN252 AP252 AU252 AW252 BB252 BD252 BI252 BK252 BP252 BR252 BW252 BY252 CD252 CF252 CK252 CM252 CR252 CT252 Z266 AB266 AG266 AI266 AN266 AP266 AU266 AW266 BB266 BD266 BI266 BK266 BP266 BR266 BW266 BY266 CD266 CF266 CK266 CM266 CR266 CT266 Z278 AB278 AG278 AI278 AN278 AP278 AU278 AW278 BB278 BD278 BI278 BK278 BP278 BR278 BW278 BY278 CD278 CF278 CK278 CM278 CR278 CT278"/>
    <dataValidation allowBlank="1" sqref="S131348:CV131354 S196884:CV196890 S262420:CV262426 S327956:CV327962 S393492:CV393498 S459028:CV459034 S524564:CV524570 S590100:CV590106 S655636:CV655642 S721172:CV721178 S786708:CV786714 S852244:CV852250 S917780:CV917786 S983316:CV983322 S65812:CV65818"/>
    <dataValidation type="list" allowBlank="1" showInputMessage="1" errorTitle="Ошибка" error="Выберите значение из списка" prompt="Выберите значение из списка" sqref="V983313:CU983313 V65809:CU65809 V131345:CU131345 V196881:CU196881 V262417:CU262417 V327953:CU327953 V393489:CU393489 V459025:CU459025 V524561:CU524561 V590097:CU590097 V655633:CU655633 V721169:CU721169 V786705:CU786705 V852241:CU852241 V917777:CU917777">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29" width="24.7109375" customWidth="1"/>
    <col min="30" max="31" width="24" customWidth="1"/>
    <col min="32" max="32" width="11" customWidth="1"/>
    <col min="33" max="33" width="3.7109375" customWidth="1"/>
    <col min="34" max="34" width="11" customWidth="1"/>
    <col min="35" max="35" width="8.5703125" hidden="1" customWidth="1"/>
    <col min="36" max="36" width="4" customWidth="1"/>
    <col min="37" max="37" width="115" customWidth="1"/>
    <col min="38" max="42" width="10" customWidth="1"/>
    <col min="43" max="43" width="10.5703125" hidden="1"/>
  </cols>
  <sheetData>
    <row r="1" spans="5:43" ht="22.5" hidden="1" customHeight="1" x14ac:dyDescent="0.15">
      <c r="AQ1" t="s">
        <v>14</v>
      </c>
    </row>
    <row r="2" spans="5:43" ht="23.25" hidden="1" customHeight="1" x14ac:dyDescent="0.15">
      <c r="E2" s="1">
        <v>1</v>
      </c>
      <c r="S2" t="e">
        <f>INDEX(PT_DIFFERENTIATION_NUM_NTAR,MATCH(A2,PT_DIFFERENTIATION_NTAR_ID,0))</f>
        <v>#N/A</v>
      </c>
      <c r="T2" t="s">
        <v>179</v>
      </c>
      <c r="V2" s="1"/>
      <c r="W2" s="1"/>
      <c r="X2" s="1"/>
      <c r="Y2" s="1"/>
      <c r="Z2" s="1"/>
      <c r="AA2" s="1"/>
      <c r="AB2" s="1"/>
      <c r="AC2" s="1" t="e">
        <f>INDEX(PT_DIFFERENTIATION_NTAR,MATCH(A2,PT_DIFFERENTIATION_NTAR_ID,0))</f>
        <v>#N/A</v>
      </c>
      <c r="AD2" s="1"/>
      <c r="AE2" s="1"/>
      <c r="AF2" s="1"/>
      <c r="AG2" s="1"/>
      <c r="AH2" s="1"/>
      <c r="AI2" s="1"/>
      <c r="AJ2" s="1"/>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2" t="str">
        <f t="shared" ref="AN2:AN13" si="0">IF(T2="","",T2)</f>
        <v>Наименование тарифа</v>
      </c>
      <c r="AQ2">
        <v>0</v>
      </c>
    </row>
    <row r="3" spans="5:43" ht="23.25" hidden="1" customHeight="1" x14ac:dyDescent="0.15">
      <c r="E3" s="1"/>
      <c r="F3" s="1">
        <v>1</v>
      </c>
      <c r="S3" t="e">
        <f>INDEX(PT_DIFFERENTIATION_NUM_TER,MATCH(B3,PT_DIFFERENTIATION_TER_ID,0))</f>
        <v>#N/A</v>
      </c>
      <c r="T3" t="s">
        <v>515</v>
      </c>
      <c r="V3" s="1"/>
      <c r="W3" s="1"/>
      <c r="X3" s="1"/>
      <c r="Y3" s="1"/>
      <c r="Z3" s="1"/>
      <c r="AA3" s="1"/>
      <c r="AB3" s="1"/>
      <c r="AC3" s="1" t="e">
        <f>INDEX(PT_DIFFERENTIATION_TER,MATCH(B3,PT_DIFFERENTIATION_TER_ID,0))</f>
        <v>#N/A</v>
      </c>
      <c r="AD3" s="1"/>
      <c r="AE3" s="1"/>
      <c r="AF3" s="1"/>
      <c r="AG3" s="1"/>
      <c r="AH3" s="1"/>
      <c r="AI3" s="1"/>
      <c r="AJ3" s="1"/>
      <c r="AK3" t="s">
        <v>516</v>
      </c>
      <c r="AN3" t="str">
        <f t="shared" si="0"/>
        <v>Территория действия тарифа</v>
      </c>
      <c r="AQ3">
        <v>0</v>
      </c>
    </row>
    <row r="4" spans="5:43" ht="23.25" hidden="1" customHeight="1" x14ac:dyDescent="0.15">
      <c r="E4" s="1"/>
      <c r="F4" s="1"/>
      <c r="G4" s="1">
        <v>1</v>
      </c>
      <c r="S4" t="e">
        <f>INDEX(PT_DIFFERENTIATION_NUM_CS,MATCH(C4,PT_DIFFERENTIATION_CS_ID,0))</f>
        <v>#N/A</v>
      </c>
      <c r="T4" t="s">
        <v>631</v>
      </c>
      <c r="V4" s="1"/>
      <c r="W4" s="1"/>
      <c r="X4" s="1"/>
      <c r="Y4" s="1"/>
      <c r="Z4" s="1"/>
      <c r="AA4" s="1"/>
      <c r="AB4" s="1"/>
      <c r="AC4" s="1" t="e">
        <f>INDEX(PT_DIFFERENTIATION_CS,MATCH(C4,PT_DIFFERENTIATION_CS_ID,0))</f>
        <v>#N/A</v>
      </c>
      <c r="AD4" s="1"/>
      <c r="AE4" s="1"/>
      <c r="AF4" s="1"/>
      <c r="AG4" s="1"/>
      <c r="AH4" s="1"/>
      <c r="AI4" s="1"/>
      <c r="AJ4" s="1"/>
      <c r="AK4" t="s">
        <v>632</v>
      </c>
      <c r="AN4" t="str">
        <f t="shared" si="0"/>
        <v>Наименование централизованной системы водоотведения</v>
      </c>
      <c r="AQ4">
        <v>0</v>
      </c>
    </row>
    <row r="5" spans="5:43"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t="s">
        <v>599</v>
      </c>
      <c r="AN5" t="str">
        <f t="shared" si="0"/>
        <v>Наименование признака дифференциации</v>
      </c>
      <c r="AQ5">
        <v>0</v>
      </c>
    </row>
    <row r="6" spans="5:43"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t="s">
        <v>600</v>
      </c>
      <c r="AN6" t="str">
        <f t="shared" si="0"/>
        <v>Группа потребителей</v>
      </c>
      <c r="AQ6">
        <v>0</v>
      </c>
    </row>
    <row r="7" spans="5:43" ht="23.25" hidden="1" customHeight="1" x14ac:dyDescent="0.15">
      <c r="E7" s="1"/>
      <c r="F7" s="1"/>
      <c r="G7" s="1"/>
      <c r="H7" s="1"/>
      <c r="I7" s="1"/>
      <c r="J7" s="1"/>
      <c r="K7" s="1" t="e">
        <f>J6&amp;".1"</f>
        <v>#N/A</v>
      </c>
      <c r="P7" s="1"/>
      <c r="Q7" s="1"/>
      <c r="R7">
        <v>1</v>
      </c>
      <c r="S7" t="e">
        <f>$K7</f>
        <v>#N/A</v>
      </c>
      <c r="Y7" s="1"/>
      <c r="Z7" s="1" t="s">
        <v>63</v>
      </c>
      <c r="AA7" s="1"/>
      <c r="AB7" s="1" t="s">
        <v>63</v>
      </c>
      <c r="AF7" s="1"/>
      <c r="AG7" s="1" t="s">
        <v>63</v>
      </c>
      <c r="AH7" s="1"/>
      <c r="AI7" s="1" t="s">
        <v>63</v>
      </c>
      <c r="AK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c r="AQ7">
        <v>0</v>
      </c>
    </row>
    <row r="8" spans="5:43" ht="14.25" hidden="1" customHeight="1" x14ac:dyDescent="0.15">
      <c r="E8" s="1"/>
      <c r="F8" s="1"/>
      <c r="G8" s="1"/>
      <c r="H8" s="1"/>
      <c r="I8" s="1"/>
      <c r="J8" s="1"/>
      <c r="K8" s="1"/>
      <c r="P8" s="1"/>
      <c r="Q8" s="1"/>
      <c r="X8" t="str">
        <f>Y7&amp;"-"&amp;AA7</f>
        <v>-</v>
      </c>
      <c r="Y8" s="1"/>
      <c r="Z8" s="1"/>
      <c r="AA8" s="1"/>
      <c r="AB8" s="1"/>
      <c r="AE8" t="str">
        <f>AF7&amp;"-"&amp;AH7</f>
        <v>-</v>
      </c>
      <c r="AF8" s="1"/>
      <c r="AG8" s="1"/>
      <c r="AH8" s="1"/>
      <c r="AI8" s="1"/>
      <c r="AK8" s="1"/>
      <c r="AN8" t="str">
        <f t="shared" si="0"/>
        <v/>
      </c>
      <c r="AQ8">
        <v>0</v>
      </c>
    </row>
    <row r="9" spans="5:43" ht="21" hidden="1" customHeight="1" x14ac:dyDescent="0.15">
      <c r="E9" s="1"/>
      <c r="F9" s="1"/>
      <c r="G9" s="1"/>
      <c r="H9" s="1"/>
      <c r="I9" s="1"/>
      <c r="J9" s="1"/>
      <c r="P9" s="1"/>
      <c r="Q9" s="1"/>
      <c r="T9" t="s">
        <v>601</v>
      </c>
      <c r="AK9" t="s">
        <v>602</v>
      </c>
      <c r="AN9" t="str">
        <f t="shared" si="0"/>
        <v>Добавить значение признака дифференциации</v>
      </c>
      <c r="AQ9">
        <v>0</v>
      </c>
    </row>
    <row r="10" spans="5:43" ht="21" hidden="1" customHeight="1" x14ac:dyDescent="0.15">
      <c r="E10" s="1"/>
      <c r="F10" s="1"/>
      <c r="G10" s="1"/>
      <c r="H10" s="1"/>
      <c r="I10" s="1"/>
      <c r="P10" s="1"/>
      <c r="T10" t="s">
        <v>530</v>
      </c>
      <c r="AN10" t="str">
        <f t="shared" si="0"/>
        <v>Добавить группу потребителей</v>
      </c>
      <c r="AQ10">
        <v>0</v>
      </c>
    </row>
    <row r="11" spans="5:43" ht="21" hidden="1" customHeight="1" x14ac:dyDescent="0.15">
      <c r="E11" s="1"/>
      <c r="F11" s="1"/>
      <c r="G11" s="1"/>
      <c r="H11" s="1"/>
      <c r="T11" t="s">
        <v>603</v>
      </c>
      <c r="AN11" t="str">
        <f t="shared" si="0"/>
        <v>Добавить наименование признака дифференциации</v>
      </c>
      <c r="AQ11">
        <v>0</v>
      </c>
    </row>
    <row r="12" spans="5:43" ht="14.25" hidden="1" customHeight="1" x14ac:dyDescent="0.15">
      <c r="E12" s="1"/>
      <c r="F12" s="1"/>
      <c r="T12" t="s">
        <v>321</v>
      </c>
      <c r="AN12" t="str">
        <f t="shared" si="0"/>
        <v>Добавить централизованную систему для дифференциации</v>
      </c>
      <c r="AQ12">
        <v>0</v>
      </c>
    </row>
    <row r="13" spans="5:43" ht="14.25" hidden="1" customHeight="1" x14ac:dyDescent="0.15">
      <c r="E13" s="1"/>
      <c r="T13" t="s">
        <v>385</v>
      </c>
      <c r="AN13" t="str">
        <f t="shared" si="0"/>
        <v>Добавить территорию для дифференциации</v>
      </c>
      <c r="AQ13">
        <v>0</v>
      </c>
    </row>
    <row r="14" spans="5:43" ht="14.25" hidden="1" customHeight="1" x14ac:dyDescent="0.15">
      <c r="AQ14">
        <v>0</v>
      </c>
    </row>
    <row r="15" spans="5:43" ht="14.25" hidden="1" customHeight="1" x14ac:dyDescent="0.15">
      <c r="AF15" s="1"/>
      <c r="AG15" s="1" t="s">
        <v>63</v>
      </c>
      <c r="AH15" s="1"/>
      <c r="AI15" s="1" t="s">
        <v>63</v>
      </c>
      <c r="AQ15">
        <v>0</v>
      </c>
    </row>
    <row r="16" spans="5:43" ht="14.25" hidden="1" customHeight="1" x14ac:dyDescent="0.15">
      <c r="AE16" t="str">
        <f>AF15&amp;"-"&amp;AH15</f>
        <v>-</v>
      </c>
      <c r="AF16" s="1"/>
      <c r="AG16" s="1"/>
      <c r="AH16" s="1"/>
      <c r="AI16" s="1"/>
      <c r="AQ16">
        <v>0</v>
      </c>
    </row>
    <row r="17" spans="15:43" ht="14.25" hidden="1" customHeight="1" x14ac:dyDescent="0.15">
      <c r="AQ17">
        <v>0</v>
      </c>
    </row>
    <row r="18" spans="15:43" ht="22.5" hidden="1" customHeight="1" x14ac:dyDescent="0.15">
      <c r="O18" t="s">
        <v>533</v>
      </c>
      <c r="AQ18">
        <v>0</v>
      </c>
    </row>
    <row r="19" spans="15:43" ht="14.25" hidden="1" customHeight="1" x14ac:dyDescent="0.15">
      <c r="AQ19">
        <v>0</v>
      </c>
    </row>
    <row r="20" spans="15:43" ht="12" hidden="1" customHeight="1" x14ac:dyDescent="0.15">
      <c r="O20" t="s">
        <v>534</v>
      </c>
      <c r="T20" t="s">
        <v>535</v>
      </c>
      <c r="Z20" t="s">
        <v>536</v>
      </c>
      <c r="AB20" t="s">
        <v>537</v>
      </c>
      <c r="AC20" t="s">
        <v>535</v>
      </c>
      <c r="AG20" t="s">
        <v>538</v>
      </c>
      <c r="AI20" t="s">
        <v>537</v>
      </c>
      <c r="AQ20">
        <v>0</v>
      </c>
    </row>
    <row r="21" spans="15:43" ht="14.25" hidden="1" customHeight="1" x14ac:dyDescent="0.15">
      <c r="AQ21">
        <v>0</v>
      </c>
    </row>
    <row r="22" spans="15:43" ht="14.25" hidden="1" customHeight="1" x14ac:dyDescent="0.15">
      <c r="AQ22">
        <v>0</v>
      </c>
    </row>
    <row r="23" spans="15:43" ht="14.65" customHeight="1" x14ac:dyDescent="0.15">
      <c r="AQ23">
        <v>14</v>
      </c>
    </row>
    <row r="24" spans="15:43" ht="14.65" customHeight="1" x14ac:dyDescent="0.15">
      <c r="S24" s="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
      <c r="U24" s="1"/>
      <c r="V24" s="1"/>
      <c r="W24" s="1"/>
      <c r="X24" s="1"/>
      <c r="Y24" s="1"/>
      <c r="Z24" s="1"/>
      <c r="AA24" s="1"/>
      <c r="AB24" s="1"/>
      <c r="AC24" s="1"/>
      <c r="AD24" s="1"/>
      <c r="AE24" s="1"/>
      <c r="AF24" s="1"/>
      <c r="AG24" s="1"/>
      <c r="AH24" s="1"/>
      <c r="AQ24">
        <v>14</v>
      </c>
    </row>
    <row r="25" spans="15:43"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Q25">
        <v>14</v>
      </c>
    </row>
    <row r="26" spans="15:43" ht="14.25" customHeight="1" x14ac:dyDescent="0.15">
      <c r="AQ26">
        <v>0</v>
      </c>
    </row>
    <row r="27" spans="15:43"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C27" s="1" t="str">
        <f>IF(TITLE_NAME_OR_PR_CHANGE="",IF(TITLE_NAME_OR_PR="","",TITLE_NAME_OR_PR),TITLE_NAME_OR_PR_CHANGE)</f>
        <v>Агентство по тарифам Приморского края</v>
      </c>
      <c r="AD27" s="1"/>
      <c r="AE27" s="1"/>
      <c r="AF27" s="1"/>
      <c r="AG27" s="1"/>
      <c r="AH27" s="1"/>
      <c r="AQ27">
        <v>0</v>
      </c>
    </row>
    <row r="28" spans="15:43" ht="18.75" customHeight="1" x14ac:dyDescent="0.15">
      <c r="S28" s="1" t="s">
        <v>539</v>
      </c>
      <c r="T28" s="1"/>
      <c r="V28" s="1">
        <f>IF(TITLE_DATE_PR_CHANGE="",IF(TITLE_DATE_PR="","",TITLE_DATE_PR),TITLE_DATE_PR_CHANGE)</f>
        <v>45653.495844907404</v>
      </c>
      <c r="W28" s="1"/>
      <c r="X28" s="1"/>
      <c r="Y28" s="1"/>
      <c r="Z28" s="1"/>
      <c r="AA28" s="1"/>
      <c r="AC28" s="1">
        <f>IF(TITLE_DATE_PR_CHANGE="",IF(TITLE_DATE_PR="","",TITLE_DATE_PR),TITLE_DATE_PR_CHANGE)</f>
        <v>45653.495844907404</v>
      </c>
      <c r="AD28" s="1"/>
      <c r="AE28" s="1"/>
      <c r="AF28" s="1"/>
      <c r="AG28" s="1"/>
      <c r="AH28" s="1"/>
      <c r="AQ28">
        <v>0</v>
      </c>
    </row>
    <row r="29" spans="15:43" ht="18.75" customHeight="1" x14ac:dyDescent="0.15">
      <c r="S29" s="1" t="s">
        <v>540</v>
      </c>
      <c r="T29" s="1"/>
      <c r="V29" s="1" t="str">
        <f>IF(TITLE_NUMBER_PR_CHANGE="",IF(TITLE_NUMBER_PR="","",TITLE_NUMBER_PR),TITLE_NUMBER_PR_CHANGE)</f>
        <v>63/2</v>
      </c>
      <c r="W29" s="1"/>
      <c r="X29" s="1"/>
      <c r="Y29" s="1"/>
      <c r="Z29" s="1"/>
      <c r="AA29" s="1"/>
      <c r="AC29" s="1" t="str">
        <f>IF(TITLE_NUMBER_PR_CHANGE="",IF(TITLE_NUMBER_PR="","",TITLE_NUMBER_PR),TITLE_NUMBER_PR_CHANGE)</f>
        <v>63/2</v>
      </c>
      <c r="AD29" s="1"/>
      <c r="AE29" s="1"/>
      <c r="AF29" s="1"/>
      <c r="AG29" s="1"/>
      <c r="AH29" s="1"/>
      <c r="AQ29">
        <v>0</v>
      </c>
    </row>
    <row r="30" spans="15:43" ht="18.75" customHeight="1" x14ac:dyDescent="0.15">
      <c r="S30" s="1" t="s">
        <v>44</v>
      </c>
      <c r="T30" s="1"/>
      <c r="V30" s="1" t="str">
        <f>IF(TITLE_IST_PUB_CHANGE="",IF(TITLE_IST_PUB="","",TITLE_IST_PUB),TITLE_IST_PUB_CHANGE)</f>
        <v>http://pravo.gov.ru</v>
      </c>
      <c r="W30" s="1"/>
      <c r="X30" s="1"/>
      <c r="Y30" s="1"/>
      <c r="Z30" s="1"/>
      <c r="AA30" s="1"/>
      <c r="AC30" s="1" t="str">
        <f>IF(TITLE_IST_PUB_CHANGE="",IF(TITLE_IST_PUB="","",TITLE_IST_PUB),TITLE_IST_PUB_CHANGE)</f>
        <v>http://pravo.gov.ru</v>
      </c>
      <c r="AD30" s="1"/>
      <c r="AE30" s="1"/>
      <c r="AF30" s="1"/>
      <c r="AG30" s="1"/>
      <c r="AH30" s="1"/>
      <c r="AQ30">
        <v>0</v>
      </c>
    </row>
    <row r="31" spans="15:43" ht="14.25" hidden="1" customHeight="1" x14ac:dyDescent="0.15">
      <c r="AQ31">
        <v>0</v>
      </c>
    </row>
    <row r="32" spans="15:43" ht="18.75" hidden="1" customHeight="1" x14ac:dyDescent="0.15">
      <c r="S32" s="1" t="s">
        <v>541</v>
      </c>
      <c r="T32" s="1"/>
      <c r="V32" s="1">
        <f>IF(TITLE_DATE_PR_CHANGE="",IF(TITLE_DATE_PR="","",TITLE_DATE_PR),TITLE_DATE_PR_CHANGE)</f>
        <v>45653.495844907404</v>
      </c>
      <c r="W32" s="1"/>
      <c r="X32" s="1"/>
      <c r="Y32" s="1"/>
      <c r="Z32" s="1"/>
      <c r="AA32" s="1"/>
      <c r="AC32" s="1">
        <f>IF(TITLE_DATE_PR_CHANGE="",IF(TITLE_DATE_PR="","",TITLE_DATE_PR),TITLE_DATE_PR_CHANGE)</f>
        <v>45653.495844907404</v>
      </c>
      <c r="AD32" s="1"/>
      <c r="AE32" s="1"/>
      <c r="AF32" s="1"/>
      <c r="AG32" s="1"/>
      <c r="AH32" s="1"/>
      <c r="AQ32">
        <v>0</v>
      </c>
    </row>
    <row r="33" spans="1:43" ht="18.75" hidden="1" customHeight="1" x14ac:dyDescent="0.15">
      <c r="S33" s="1" t="s">
        <v>542</v>
      </c>
      <c r="T33" s="1"/>
      <c r="V33" s="1" t="str">
        <f>IF(TITLE_NUMBER_PR_CHANGE="",IF(TITLE_NUMBER_PR="","",TITLE_NUMBER_PR),TITLE_NUMBER_PR_CHANGE)</f>
        <v>63/2</v>
      </c>
      <c r="W33" s="1"/>
      <c r="X33" s="1"/>
      <c r="Y33" s="1"/>
      <c r="Z33" s="1"/>
      <c r="AA33" s="1"/>
      <c r="AC33" s="1" t="str">
        <f>IF(TITLE_NUMBER_PR_CHANGE="",IF(TITLE_NUMBER_PR="","",TITLE_NUMBER_PR),TITLE_NUMBER_PR_CHANGE)</f>
        <v>63/2</v>
      </c>
      <c r="AD33" s="1"/>
      <c r="AE33" s="1"/>
      <c r="AF33" s="1"/>
      <c r="AG33" s="1"/>
      <c r="AH33" s="1"/>
      <c r="AQ33">
        <v>0</v>
      </c>
    </row>
    <row r="34" spans="1:43" ht="1.1499999999999999" customHeight="1" x14ac:dyDescent="0.15">
      <c r="AB34" t="s">
        <v>543</v>
      </c>
      <c r="AI34" t="s">
        <v>543</v>
      </c>
      <c r="AQ34">
        <v>1</v>
      </c>
    </row>
    <row r="35" spans="1:43" ht="14.65" customHeight="1" x14ac:dyDescent="0.15">
      <c r="V35" s="1"/>
      <c r="W35" s="1"/>
      <c r="X35" s="1"/>
      <c r="Y35" s="1"/>
      <c r="Z35" s="1"/>
      <c r="AA35" s="1"/>
      <c r="AB35" s="1"/>
      <c r="AC35" s="1"/>
      <c r="AD35" s="1"/>
      <c r="AE35" s="1"/>
      <c r="AF35" s="1"/>
      <c r="AG35" s="1"/>
      <c r="AH35" s="1"/>
      <c r="AI35" s="1"/>
      <c r="AQ35">
        <v>14</v>
      </c>
    </row>
    <row r="36" spans="1:43" ht="14.65" customHeight="1" x14ac:dyDescent="0.15">
      <c r="S36" s="1" t="s">
        <v>418</v>
      </c>
      <c r="T36" s="1"/>
      <c r="U36" s="1"/>
      <c r="V36" s="1"/>
      <c r="W36" s="1"/>
      <c r="X36" s="1"/>
      <c r="Y36" s="1"/>
      <c r="Z36" s="1"/>
      <c r="AA36" s="1"/>
      <c r="AB36" s="1"/>
      <c r="AC36" s="1"/>
      <c r="AD36" s="1"/>
      <c r="AE36" s="1"/>
      <c r="AF36" s="1"/>
      <c r="AG36" s="1"/>
      <c r="AH36" s="1"/>
      <c r="AI36" s="1"/>
      <c r="AJ36" s="1"/>
      <c r="AK36" s="1" t="s">
        <v>419</v>
      </c>
      <c r="AQ36">
        <v>14</v>
      </c>
    </row>
    <row r="37" spans="1:43" ht="14.65" customHeight="1" x14ac:dyDescent="0.15">
      <c r="S37" s="1" t="s">
        <v>90</v>
      </c>
      <c r="T37" s="1" t="s">
        <v>544</v>
      </c>
      <c r="V37" s="1" t="s">
        <v>545</v>
      </c>
      <c r="W37" s="1"/>
      <c r="X37" s="1"/>
      <c r="Y37" s="1"/>
      <c r="Z37" s="1"/>
      <c r="AA37" s="1"/>
      <c r="AB37" s="1" t="s">
        <v>546</v>
      </c>
      <c r="AC37" s="1" t="s">
        <v>545</v>
      </c>
      <c r="AD37" s="1"/>
      <c r="AE37" s="1"/>
      <c r="AF37" s="1"/>
      <c r="AG37" s="1"/>
      <c r="AH37" s="1"/>
      <c r="AI37" s="1" t="s">
        <v>547</v>
      </c>
      <c r="AJ37" s="1" t="s">
        <v>548</v>
      </c>
      <c r="AK37" s="1"/>
      <c r="AQ37">
        <v>14</v>
      </c>
    </row>
    <row r="38" spans="1:43" ht="35.65" customHeight="1" x14ac:dyDescent="0.15">
      <c r="S38" s="1"/>
      <c r="T38" s="1"/>
      <c r="V38" t="s">
        <v>604</v>
      </c>
      <c r="W38" s="1" t="s">
        <v>551</v>
      </c>
      <c r="X38" s="1"/>
      <c r="Y38" s="1" t="s">
        <v>552</v>
      </c>
      <c r="Z38" s="1"/>
      <c r="AA38" s="1"/>
      <c r="AB38" s="1"/>
      <c r="AC38" t="s">
        <v>604</v>
      </c>
      <c r="AD38" s="1" t="s">
        <v>551</v>
      </c>
      <c r="AE38" s="1"/>
      <c r="AF38" s="1" t="s">
        <v>552</v>
      </c>
      <c r="AG38" s="1"/>
      <c r="AH38" s="1"/>
      <c r="AI38" s="1"/>
      <c r="AJ38" s="1"/>
      <c r="AK38" s="1"/>
      <c r="AQ38">
        <v>34</v>
      </c>
    </row>
    <row r="39" spans="1:43" ht="90.4" customHeight="1" x14ac:dyDescent="0.15">
      <c r="B39" t="s">
        <v>191</v>
      </c>
      <c r="C39" t="s">
        <v>192</v>
      </c>
      <c r="D39" t="s">
        <v>193</v>
      </c>
      <c r="E39" t="s">
        <v>553</v>
      </c>
      <c r="F39" t="s">
        <v>554</v>
      </c>
      <c r="G39" t="s">
        <v>555</v>
      </c>
      <c r="I39" t="s">
        <v>605</v>
      </c>
      <c r="J39" t="s">
        <v>558</v>
      </c>
      <c r="K39" t="s">
        <v>606</v>
      </c>
      <c r="L39" t="s">
        <v>534</v>
      </c>
      <c r="S39" s="1"/>
      <c r="T39" s="1"/>
      <c r="V39" t="s">
        <v>633</v>
      </c>
      <c r="W39" t="s">
        <v>634</v>
      </c>
      <c r="X39" t="s">
        <v>609</v>
      </c>
      <c r="Y39" t="s">
        <v>562</v>
      </c>
      <c r="Z39" s="1" t="s">
        <v>563</v>
      </c>
      <c r="AA39" s="1"/>
      <c r="AB39" s="1"/>
      <c r="AC39" t="s">
        <v>633</v>
      </c>
      <c r="AD39" t="s">
        <v>634</v>
      </c>
      <c r="AE39" t="s">
        <v>609</v>
      </c>
      <c r="AF39" t="s">
        <v>562</v>
      </c>
      <c r="AG39" s="1" t="s">
        <v>563</v>
      </c>
      <c r="AH39" s="1"/>
      <c r="AI39" s="1"/>
      <c r="AJ39" s="1"/>
      <c r="AK39" s="1"/>
      <c r="AQ39">
        <v>86</v>
      </c>
    </row>
    <row r="40" spans="1:43" ht="0" hidden="1" customHeight="1" x14ac:dyDescent="0.15">
      <c r="R40">
        <v>1</v>
      </c>
      <c r="S40" t="s">
        <v>101</v>
      </c>
      <c r="T40" t="s">
        <v>105</v>
      </c>
      <c r="U40" t="str">
        <f ca="1">OFFSET(U40,0,-1)</f>
        <v>2</v>
      </c>
      <c r="V40">
        <f ca="1">OFFSET(V40,0,-1)+1</f>
        <v>3</v>
      </c>
      <c r="W40">
        <f ca="1">OFFSET(W40,0,-1)+1</f>
        <v>4</v>
      </c>
      <c r="X40">
        <f ca="1">OFFSET(X40,0,-1)+1</f>
        <v>5</v>
      </c>
      <c r="Y40">
        <f ca="1">OFFSET(Y40,0,-1)+1</f>
        <v>6</v>
      </c>
      <c r="Z40" s="1">
        <f ca="1">OFFSET(Z40,0,-1)+1</f>
        <v>7</v>
      </c>
      <c r="AA40" s="1"/>
      <c r="AB40">
        <f ca="1">OFFSET(AB40,0,-2)+1</f>
        <v>8</v>
      </c>
      <c r="AC40">
        <f ca="1">OFFSET(AC40,0,-1)+1</f>
        <v>9</v>
      </c>
      <c r="AD40">
        <f ca="1">OFFSET(AD40,0,-1)+1</f>
        <v>10</v>
      </c>
      <c r="AE40">
        <f ca="1">OFFSET(AE40,0,-1)+1</f>
        <v>11</v>
      </c>
      <c r="AF40">
        <f ca="1">OFFSET(AF40,0,-1)+1</f>
        <v>12</v>
      </c>
      <c r="AG40" s="1">
        <f ca="1">OFFSET(AG40,0,-1)+1</f>
        <v>13</v>
      </c>
      <c r="AH40" s="1"/>
      <c r="AI40">
        <f ca="1">OFFSET(AI40,0,-2)+1</f>
        <v>14</v>
      </c>
      <c r="AJ40">
        <f ca="1">OFFSET(AJ40,0,-1)</f>
        <v>14</v>
      </c>
      <c r="AK40">
        <f ca="1">OFFSET(AK40,0,-1)+1</f>
        <v>15</v>
      </c>
      <c r="AQ40">
        <v>0</v>
      </c>
    </row>
    <row r="41" spans="1:43" ht="24" customHeight="1" x14ac:dyDescent="0.15">
      <c r="A41" t="s">
        <v>389</v>
      </c>
      <c r="E41" s="1">
        <v>1</v>
      </c>
      <c r="S41">
        <f>INDEX(PT_DIFFERENTIATION_NUM_NTAR,MATCH(A41,PT_DIFFERENTIATION_NTAR_ID,0))</f>
        <v>0</v>
      </c>
      <c r="T41" t="s">
        <v>179</v>
      </c>
      <c r="V41" s="1"/>
      <c r="W41" s="1"/>
      <c r="X41" s="1"/>
      <c r="Y41" s="1"/>
      <c r="Z41" s="1"/>
      <c r="AA41" s="1"/>
      <c r="AB41" s="1"/>
      <c r="AC41" s="1" t="str">
        <f>INDEX(PT_DIFFERENTIATION_NTAR,MATCH(A41,PT_DIFFERENTIATION_NTAR_ID,0))</f>
        <v/>
      </c>
      <c r="AD41" s="1"/>
      <c r="AE41" s="1"/>
      <c r="AF41" s="1"/>
      <c r="AG41" s="1"/>
      <c r="AH41" s="1"/>
      <c r="AI41" s="1"/>
      <c r="AJ41" s="1"/>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N41" t="str">
        <f t="shared" ref="AN41:AN53" si="1">IF(T41="","",T41)</f>
        <v>Наименование тарифа</v>
      </c>
      <c r="AQ41">
        <v>23</v>
      </c>
    </row>
    <row r="42" spans="1:43" ht="24" customHeight="1" x14ac:dyDescent="0.15">
      <c r="A42" t="s">
        <v>389</v>
      </c>
      <c r="B42" t="s">
        <v>390</v>
      </c>
      <c r="E42" s="1"/>
      <c r="F42" s="1">
        <v>1</v>
      </c>
      <c r="S42" t="str">
        <f>INDEX(PT_DIFFERENTIATION_NUM_TER,MATCH(B42,PT_DIFFERENTIATION_TER_ID,0))</f>
        <v>.</v>
      </c>
      <c r="T42" t="s">
        <v>515</v>
      </c>
      <c r="V42" s="1"/>
      <c r="W42" s="1"/>
      <c r="X42" s="1"/>
      <c r="Y42" s="1"/>
      <c r="Z42" s="1"/>
      <c r="AA42" s="1"/>
      <c r="AB42" s="1"/>
      <c r="AC42" s="1" t="str">
        <f>INDEX(PT_DIFFERENTIATION_TER,MATCH(B42,PT_DIFFERENTIATION_TER_ID,0))</f>
        <v/>
      </c>
      <c r="AD42" s="1"/>
      <c r="AE42" s="1"/>
      <c r="AF42" s="1"/>
      <c r="AG42" s="1"/>
      <c r="AH42" s="1"/>
      <c r="AI42" s="1"/>
      <c r="AJ42" s="1"/>
      <c r="AK42" t="s">
        <v>516</v>
      </c>
      <c r="AN42" t="str">
        <f t="shared" si="1"/>
        <v>Территория действия тарифа</v>
      </c>
      <c r="AQ42">
        <v>23</v>
      </c>
    </row>
    <row r="43" spans="1:43" ht="24" customHeight="1" x14ac:dyDescent="0.15">
      <c r="A43" t="s">
        <v>389</v>
      </c>
      <c r="B43" t="s">
        <v>390</v>
      </c>
      <c r="C43" t="s">
        <v>391</v>
      </c>
      <c r="E43" s="1"/>
      <c r="F43" s="1"/>
      <c r="G43" s="1">
        <v>1</v>
      </c>
      <c r="S43" t="str">
        <f>INDEX(PT_DIFFERENTIATION_NUM_CS,MATCH(C43,PT_DIFFERENTIATION_CS_ID,0))</f>
        <v>..</v>
      </c>
      <c r="T43" t="s">
        <v>631</v>
      </c>
      <c r="V43" s="1"/>
      <c r="W43" s="1"/>
      <c r="X43" s="1"/>
      <c r="Y43" s="1"/>
      <c r="Z43" s="1"/>
      <c r="AA43" s="1"/>
      <c r="AB43" s="1"/>
      <c r="AC43" s="1" t="str">
        <f>INDEX(PT_DIFFERENTIATION_CS,MATCH(C43,PT_DIFFERENTIATION_CS_ID,0))</f>
        <v/>
      </c>
      <c r="AD43" s="1"/>
      <c r="AE43" s="1"/>
      <c r="AF43" s="1"/>
      <c r="AG43" s="1"/>
      <c r="AH43" s="1"/>
      <c r="AI43" s="1"/>
      <c r="AJ43" s="1"/>
      <c r="AK43" t="s">
        <v>632</v>
      </c>
      <c r="AN43" t="str">
        <f t="shared" si="1"/>
        <v>Наименование централизованной системы водоотведения</v>
      </c>
      <c r="AQ43">
        <v>23</v>
      </c>
    </row>
    <row r="44" spans="1:43" ht="24" customHeight="1" x14ac:dyDescent="0.15">
      <c r="A44" t="s">
        <v>389</v>
      </c>
      <c r="B44" t="s">
        <v>390</v>
      </c>
      <c r="C44" t="s">
        <v>391</v>
      </c>
      <c r="D44" t="s">
        <v>638</v>
      </c>
      <c r="E44" s="1"/>
      <c r="F44" s="1"/>
      <c r="G44" s="1"/>
      <c r="H44" s="1"/>
      <c r="I44" s="1" t="str">
        <f>S43&amp;".1"</f>
        <v>...1</v>
      </c>
      <c r="P44" s="1">
        <v>1</v>
      </c>
      <c r="S44" t="str">
        <f>$I44</f>
        <v>...1</v>
      </c>
      <c r="T44" t="s">
        <v>598</v>
      </c>
      <c r="V44" s="1"/>
      <c r="W44" s="1"/>
      <c r="X44" s="1"/>
      <c r="Y44" s="1"/>
      <c r="Z44" s="1"/>
      <c r="AA44" s="1"/>
      <c r="AB44" s="1"/>
      <c r="AC44" s="1"/>
      <c r="AD44" s="1"/>
      <c r="AE44" s="1"/>
      <c r="AF44" s="1"/>
      <c r="AG44" s="1"/>
      <c r="AH44" s="1"/>
      <c r="AI44" s="1"/>
      <c r="AJ44" s="1"/>
      <c r="AK44" t="s">
        <v>599</v>
      </c>
      <c r="AN44" t="str">
        <f t="shared" si="1"/>
        <v>Наименование признака дифференциации</v>
      </c>
      <c r="AQ44">
        <v>23</v>
      </c>
    </row>
    <row r="45" spans="1:43" ht="24" customHeight="1" x14ac:dyDescent="0.15">
      <c r="A45" t="s">
        <v>389</v>
      </c>
      <c r="B45" t="s">
        <v>390</v>
      </c>
      <c r="C45" t="s">
        <v>391</v>
      </c>
      <c r="D45" t="s">
        <v>638</v>
      </c>
      <c r="E45" s="1"/>
      <c r="F45" s="1"/>
      <c r="G45" s="1"/>
      <c r="H45" s="1"/>
      <c r="I45" s="1"/>
      <c r="J45" s="1" t="str">
        <f>I44&amp;".1"</f>
        <v>...1.1</v>
      </c>
      <c r="L45" t="s">
        <v>524</v>
      </c>
      <c r="P45" s="1"/>
      <c r="Q45" s="1">
        <v>1</v>
      </c>
      <c r="S45" t="str">
        <f>$J45</f>
        <v>...1.1</v>
      </c>
      <c r="T45" t="s">
        <v>525</v>
      </c>
      <c r="V45" s="1"/>
      <c r="W45" s="1"/>
      <c r="X45" s="1"/>
      <c r="Y45" s="1"/>
      <c r="Z45" s="1"/>
      <c r="AA45" s="1"/>
      <c r="AB45" s="1"/>
      <c r="AC45" s="1"/>
      <c r="AD45" s="1"/>
      <c r="AE45" s="1"/>
      <c r="AF45" s="1"/>
      <c r="AG45" s="1"/>
      <c r="AH45" s="1"/>
      <c r="AI45" s="1"/>
      <c r="AJ45" s="1"/>
      <c r="AK45" t="s">
        <v>600</v>
      </c>
      <c r="AN45" t="str">
        <f t="shared" si="1"/>
        <v>Группа потребителей</v>
      </c>
      <c r="AQ45">
        <v>23</v>
      </c>
    </row>
    <row r="46" spans="1:43" ht="24" customHeight="1" x14ac:dyDescent="0.15">
      <c r="A46" t="s">
        <v>389</v>
      </c>
      <c r="B46" t="s">
        <v>390</v>
      </c>
      <c r="C46" t="s">
        <v>391</v>
      </c>
      <c r="D46" t="s">
        <v>638</v>
      </c>
      <c r="E46" s="1"/>
      <c r="F46" s="1"/>
      <c r="G46" s="1"/>
      <c r="H46" s="1"/>
      <c r="I46" s="1"/>
      <c r="J46" s="1"/>
      <c r="K46" s="1" t="str">
        <f>J45&amp;".1"</f>
        <v>...1.1.1</v>
      </c>
      <c r="P46" s="1"/>
      <c r="Q46" s="1"/>
      <c r="R46">
        <v>1</v>
      </c>
      <c r="S46" t="str">
        <f>$K46</f>
        <v>...1.1.1</v>
      </c>
      <c r="Y46" s="1"/>
      <c r="Z46" s="1" t="s">
        <v>63</v>
      </c>
      <c r="AA46" s="1"/>
      <c r="AB46" s="1" t="s">
        <v>63</v>
      </c>
      <c r="AF46" s="1"/>
      <c r="AG46" s="1" t="s">
        <v>63</v>
      </c>
      <c r="AH46" s="1"/>
      <c r="AI46" s="1" t="s">
        <v>19</v>
      </c>
      <c r="AK46"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c r="AQ46">
        <v>23</v>
      </c>
    </row>
    <row r="47" spans="1:43" ht="0" hidden="1" customHeight="1" x14ac:dyDescent="0.15">
      <c r="A47" t="s">
        <v>389</v>
      </c>
      <c r="B47" t="s">
        <v>390</v>
      </c>
      <c r="C47" t="s">
        <v>391</v>
      </c>
      <c r="D47" t="s">
        <v>638</v>
      </c>
      <c r="E47" s="1"/>
      <c r="F47" s="1"/>
      <c r="G47" s="1"/>
      <c r="H47" s="1"/>
      <c r="I47" s="1"/>
      <c r="J47" s="1"/>
      <c r="K47" s="1"/>
      <c r="P47" s="1"/>
      <c r="Q47" s="1"/>
      <c r="X47" t="str">
        <f>Y46&amp;"-"&amp;AA46</f>
        <v>-</v>
      </c>
      <c r="Y47" s="1"/>
      <c r="Z47" s="1"/>
      <c r="AA47" s="1"/>
      <c r="AB47" s="1"/>
      <c r="AE47" t="str">
        <f>AF46&amp;"-"&amp;AH46</f>
        <v>-</v>
      </c>
      <c r="AF47" s="1"/>
      <c r="AG47" s="1"/>
      <c r="AH47" s="1"/>
      <c r="AI47" s="1"/>
      <c r="AK47" s="1"/>
      <c r="AN47" t="str">
        <f t="shared" si="1"/>
        <v/>
      </c>
      <c r="AQ47">
        <v>0</v>
      </c>
    </row>
    <row r="48" spans="1:43" ht="21" customHeight="1" x14ac:dyDescent="0.15">
      <c r="A48" t="s">
        <v>389</v>
      </c>
      <c r="B48" t="s">
        <v>390</v>
      </c>
      <c r="C48" t="s">
        <v>391</v>
      </c>
      <c r="D48" t="s">
        <v>638</v>
      </c>
      <c r="E48" s="1"/>
      <c r="F48" s="1"/>
      <c r="G48" s="1"/>
      <c r="H48" s="1"/>
      <c r="I48" s="1"/>
      <c r="J48" s="1"/>
      <c r="P48" s="1"/>
      <c r="Q48" s="1"/>
      <c r="T48" t="s">
        <v>601</v>
      </c>
      <c r="AK48" t="s">
        <v>602</v>
      </c>
      <c r="AN48" t="str">
        <f t="shared" si="1"/>
        <v>Добавить значение признака дифференциации</v>
      </c>
      <c r="AQ48">
        <v>20</v>
      </c>
    </row>
    <row r="49" spans="1:43" ht="21.95" customHeight="1" x14ac:dyDescent="0.15">
      <c r="A49" t="s">
        <v>389</v>
      </c>
      <c r="B49" t="s">
        <v>390</v>
      </c>
      <c r="C49" t="s">
        <v>391</v>
      </c>
      <c r="D49" t="s">
        <v>638</v>
      </c>
      <c r="E49" s="1"/>
      <c r="F49" s="1"/>
      <c r="G49" s="1"/>
      <c r="H49" s="1"/>
      <c r="I49" s="1"/>
      <c r="P49" s="1"/>
      <c r="T49" t="s">
        <v>530</v>
      </c>
      <c r="AN49" t="str">
        <f t="shared" si="1"/>
        <v>Добавить группу потребителей</v>
      </c>
      <c r="AQ49">
        <v>21</v>
      </c>
    </row>
    <row r="50" spans="1:43" ht="21.95" customHeight="1" x14ac:dyDescent="0.15">
      <c r="A50" t="s">
        <v>389</v>
      </c>
      <c r="B50" t="s">
        <v>390</v>
      </c>
      <c r="C50" t="s">
        <v>391</v>
      </c>
      <c r="D50" t="s">
        <v>638</v>
      </c>
      <c r="E50" s="1"/>
      <c r="F50" s="1"/>
      <c r="G50" s="1"/>
      <c r="H50" s="1"/>
      <c r="T50" t="s">
        <v>603</v>
      </c>
      <c r="AN50" t="str">
        <f t="shared" si="1"/>
        <v>Добавить наименование признака дифференциации</v>
      </c>
      <c r="AQ50">
        <v>21</v>
      </c>
    </row>
    <row r="51" spans="1:43" ht="0" hidden="1" customHeight="1" x14ac:dyDescent="0.15">
      <c r="A51" t="s">
        <v>389</v>
      </c>
      <c r="B51" t="s">
        <v>390</v>
      </c>
      <c r="E51" s="1"/>
      <c r="F51" s="1"/>
      <c r="T51" t="s">
        <v>321</v>
      </c>
      <c r="AN51" t="str">
        <f t="shared" si="1"/>
        <v>Добавить централизованную систему для дифференциации</v>
      </c>
      <c r="AQ51">
        <v>0</v>
      </c>
    </row>
    <row r="52" spans="1:43" ht="0" hidden="1" customHeight="1" x14ac:dyDescent="0.15">
      <c r="A52" t="s">
        <v>389</v>
      </c>
      <c r="E52" s="1"/>
      <c r="T52" t="s">
        <v>385</v>
      </c>
      <c r="AN52" t="str">
        <f t="shared" si="1"/>
        <v>Добавить территорию для дифференциации</v>
      </c>
      <c r="AQ52">
        <v>0</v>
      </c>
    </row>
    <row r="53" spans="1:43" ht="0" hidden="1" customHeight="1" x14ac:dyDescent="0.15">
      <c r="T53" t="s">
        <v>386</v>
      </c>
      <c r="AN53" t="str">
        <f t="shared" si="1"/>
        <v>Добавить наименование тарифа</v>
      </c>
      <c r="AQ53">
        <v>0</v>
      </c>
    </row>
    <row r="54" spans="1:43" ht="11.45" customHeight="1" x14ac:dyDescent="0.15">
      <c r="AQ54">
        <v>11</v>
      </c>
    </row>
    <row r="55" spans="1:43" ht="14.65" customHeight="1" x14ac:dyDescent="0.15">
      <c r="T55" s="1"/>
      <c r="U55" s="1"/>
      <c r="V55" s="1"/>
      <c r="W55" s="1"/>
      <c r="X55" s="1"/>
      <c r="Y55" s="1"/>
      <c r="Z55" s="1"/>
      <c r="AA55" s="1"/>
      <c r="AB55" s="1"/>
      <c r="AC55" s="1"/>
      <c r="AD55" s="1"/>
      <c r="AE55" s="1"/>
      <c r="AF55" s="1"/>
      <c r="AG55" s="1"/>
      <c r="AH55" s="1"/>
      <c r="AI55" s="1"/>
      <c r="AJ55" s="1"/>
      <c r="AK55" s="1"/>
      <c r="AQ55">
        <v>14</v>
      </c>
    </row>
    <row r="56" spans="1:43" ht="14.65" customHeight="1" x14ac:dyDescent="0.15">
      <c r="AQ56">
        <v>14</v>
      </c>
    </row>
    <row r="57" spans="1:43" ht="14.65" customHeight="1" x14ac:dyDescent="0.15">
      <c r="T57" s="1"/>
      <c r="U57" s="1"/>
      <c r="V57" s="1"/>
      <c r="W57" s="1"/>
      <c r="X57" s="1"/>
      <c r="Y57" s="1"/>
      <c r="Z57" s="1"/>
      <c r="AA57" s="1"/>
      <c r="AB57" s="1"/>
      <c r="AC57" s="1"/>
      <c r="AD57" s="1"/>
      <c r="AE57" s="1"/>
      <c r="AF57" s="1"/>
      <c r="AG57" s="1"/>
      <c r="AH57" s="1"/>
      <c r="AI57" s="1"/>
      <c r="AJ57" s="1"/>
      <c r="AK57" s="1"/>
      <c r="AQ57">
        <v>14</v>
      </c>
    </row>
    <row r="58" spans="1:43" ht="22.5" hidden="1" customHeight="1" x14ac:dyDescent="0.15">
      <c r="A58" t="s">
        <v>84</v>
      </c>
      <c r="B58">
        <v>0</v>
      </c>
      <c r="C58">
        <v>0</v>
      </c>
      <c r="D58">
        <v>0</v>
      </c>
      <c r="E58">
        <v>0</v>
      </c>
      <c r="F58">
        <v>0</v>
      </c>
      <c r="G58">
        <v>0</v>
      </c>
      <c r="H58">
        <v>0</v>
      </c>
      <c r="I58">
        <v>0</v>
      </c>
      <c r="J58">
        <v>0</v>
      </c>
      <c r="K58">
        <v>0</v>
      </c>
      <c r="L58">
        <v>0</v>
      </c>
      <c r="M58">
        <v>0</v>
      </c>
      <c r="N58">
        <v>0</v>
      </c>
      <c r="O58">
        <v>0</v>
      </c>
      <c r="P58">
        <v>3</v>
      </c>
      <c r="Q58">
        <v>3</v>
      </c>
      <c r="R58">
        <v>3</v>
      </c>
      <c r="S58">
        <v>12</v>
      </c>
      <c r="T58">
        <v>35</v>
      </c>
      <c r="U58">
        <v>0</v>
      </c>
      <c r="V58">
        <v>0</v>
      </c>
      <c r="W58">
        <v>0</v>
      </c>
      <c r="X58">
        <v>0</v>
      </c>
      <c r="Y58">
        <v>0</v>
      </c>
      <c r="Z58">
        <v>0</v>
      </c>
      <c r="AA58">
        <v>0</v>
      </c>
      <c r="AB58">
        <v>0</v>
      </c>
      <c r="AC58">
        <v>24</v>
      </c>
      <c r="AD58">
        <v>24</v>
      </c>
      <c r="AE58">
        <v>24</v>
      </c>
      <c r="AF58">
        <v>11</v>
      </c>
      <c r="AG58">
        <v>3</v>
      </c>
      <c r="AH58">
        <v>11</v>
      </c>
      <c r="AI58">
        <v>0</v>
      </c>
      <c r="AJ58">
        <v>4</v>
      </c>
      <c r="AK58">
        <v>115</v>
      </c>
      <c r="AL58">
        <v>10</v>
      </c>
      <c r="AM58">
        <v>10</v>
      </c>
      <c r="AN58">
        <v>10</v>
      </c>
      <c r="AO58">
        <v>10</v>
      </c>
      <c r="AP58">
        <v>10</v>
      </c>
      <c r="AQ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516</v>
      </c>
      <c r="BF3" t="str">
        <f t="shared" si="0"/>
        <v>Территория действия тарифа</v>
      </c>
      <c r="BI3">
        <v>0</v>
      </c>
    </row>
    <row r="4" spans="5:61" ht="33.75" hidden="1" customHeight="1" x14ac:dyDescent="0.15">
      <c r="E4" s="1"/>
      <c r="F4" s="1"/>
      <c r="G4" s="1">
        <v>1</v>
      </c>
      <c r="S4" t="e">
        <f>INDEX(PT_DIFFERENTIATION_NUM_CS,MATCH(C4,PT_DIFFERENTIATION_CS_ID,0))</f>
        <v>#N/A</v>
      </c>
      <c r="T4" t="s">
        <v>631</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632</v>
      </c>
      <c r="BF4" t="str">
        <f t="shared" si="0"/>
        <v>Наименование централизованной системы водоотведения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520</v>
      </c>
      <c r="BF5" t="str">
        <f t="shared" si="0"/>
        <v/>
      </c>
      <c r="BI5">
        <v>0</v>
      </c>
    </row>
    <row r="6" spans="5:61" ht="14.25" hidden="1" customHeight="1" x14ac:dyDescent="0.15">
      <c r="E6" s="1"/>
      <c r="F6" s="1"/>
      <c r="G6" s="1"/>
      <c r="H6" s="1"/>
      <c r="I6" s="1" t="str">
        <f>S5&amp;".1"</f>
        <v>.1</v>
      </c>
      <c r="L6" t="s">
        <v>521</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616</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617</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639</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640</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620</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583</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321</v>
      </c>
      <c r="BF17" t="str">
        <f t="shared" si="1"/>
        <v>Добавить централизованную систему для дифференциации</v>
      </c>
      <c r="BI17">
        <v>0</v>
      </c>
    </row>
    <row r="18" spans="5:61" ht="14.25" hidden="1" customHeight="1" x14ac:dyDescent="0.15">
      <c r="E18" s="1"/>
      <c r="T18" t="s">
        <v>385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533</v>
      </c>
      <c r="BI22">
        <v>0</v>
      </c>
    </row>
    <row r="23" spans="5:61" ht="14.25" hidden="1" customHeight="1" x14ac:dyDescent="0.15">
      <c r="BI23">
        <v>0</v>
      </c>
    </row>
    <row r="24" spans="5:61" ht="14.25" hidden="1" customHeight="1" x14ac:dyDescent="0.15">
      <c r="O24" t="s">
        <v>534</v>
      </c>
      <c r="AA24" t="s">
        <v>536</v>
      </c>
      <c r="AC24" t="s">
        <v>537</v>
      </c>
      <c r="AD24" t="s">
        <v>584</v>
      </c>
      <c r="AH24" t="s">
        <v>584</v>
      </c>
      <c r="AK24" t="s">
        <v>621</v>
      </c>
      <c r="AL24" t="s">
        <v>584</v>
      </c>
      <c r="AP24" t="s">
        <v>584</v>
      </c>
      <c r="AY24" t="s">
        <v>536</v>
      </c>
      <c r="BA24" t="s">
        <v>537</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539</v>
      </c>
      <c r="T32" s="1"/>
      <c r="V32" s="1">
        <f>IF(TITLE_DATE_PR_CHANGE="",IF(TITLE_DATE_PR="","",TITLE_DATE_PR),TITLE_DATE_PR_CHANGE)</f>
        <v>45653.495844907404</v>
      </c>
      <c r="W32" s="1"/>
      <c r="X32" s="1"/>
      <c r="Y32" s="1"/>
      <c r="Z32" s="1"/>
      <c r="AA32" s="1"/>
      <c r="AB32" s="1"/>
      <c r="AD32" s="1">
        <f>IF(TITLE_DATE_PR_CHANGE="",IF(TITLE_DATE_PR="","",TITLE_DATE_PR),TITLE_DATE_PR_CHANGE)</f>
        <v>45653.495844907404</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540</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539</v>
      </c>
      <c r="T36" s="1"/>
      <c r="V36" s="1">
        <f>IF(TITLE_DATE_PR_CHANGE="",IF(TITLE_DATE_PR="","",TITLE_DATE_PR),TITLE_DATE_PR_CHANGE)</f>
        <v>45653.495844907404</v>
      </c>
      <c r="W36" s="1"/>
      <c r="X36" s="1"/>
      <c r="Y36" s="1"/>
      <c r="Z36" s="1"/>
      <c r="AA36" s="1"/>
      <c r="AB36" s="1"/>
      <c r="AD36" s="1">
        <f>IF(TITLE_DATE_PR_CHANGE="",IF(TITLE_DATE_PR="","",TITLE_DATE_PR),TITLE_DATE_PR_CHANGE)</f>
        <v>45653.495844907404</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540</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543</v>
      </c>
      <c r="BA38" t="s">
        <v>543</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418</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419</v>
      </c>
      <c r="BI40">
        <v>14</v>
      </c>
    </row>
    <row r="41" spans="1:61" ht="14.65" customHeight="1" x14ac:dyDescent="0.15">
      <c r="S41" s="1" t="s">
        <v>90</v>
      </c>
      <c r="T41" s="1" t="s">
        <v>622</v>
      </c>
      <c r="V41" s="1" t="s">
        <v>545</v>
      </c>
      <c r="W41" s="1"/>
      <c r="X41" s="1"/>
      <c r="Y41" s="1"/>
      <c r="Z41" s="1"/>
      <c r="AA41" s="1"/>
      <c r="AB41" s="1"/>
      <c r="AC41" s="1" t="s">
        <v>546</v>
      </c>
      <c r="AD41" s="1" t="s">
        <v>641</v>
      </c>
      <c r="AE41" s="1"/>
      <c r="AF41" s="1"/>
      <c r="AG41" s="1"/>
      <c r="AH41" s="1" t="s">
        <v>642</v>
      </c>
      <c r="AI41" s="1"/>
      <c r="AJ41" s="1"/>
      <c r="AK41" s="1"/>
      <c r="AL41" s="1" t="s">
        <v>643</v>
      </c>
      <c r="AM41" s="1"/>
      <c r="AN41" s="1"/>
      <c r="AO41" s="1"/>
      <c r="AP41" s="1" t="s">
        <v>626</v>
      </c>
      <c r="AQ41" s="1"/>
      <c r="AR41" s="1"/>
      <c r="AS41" s="1"/>
      <c r="AT41" s="1" t="s">
        <v>545</v>
      </c>
      <c r="AU41" s="1"/>
      <c r="AV41" s="1"/>
      <c r="AW41" s="1"/>
      <c r="AX41" s="1"/>
      <c r="AY41" s="1"/>
      <c r="AZ41" s="1"/>
      <c r="BA41" s="1" t="s">
        <v>546</v>
      </c>
      <c r="BB41" s="1" t="s">
        <v>548</v>
      </c>
      <c r="BC41" s="1"/>
      <c r="BI41">
        <v>14</v>
      </c>
    </row>
    <row r="42" spans="1:61" ht="35.65" customHeight="1" x14ac:dyDescent="0.15">
      <c r="S42" s="1"/>
      <c r="T42" s="1"/>
      <c r="V42" s="1" t="s">
        <v>627</v>
      </c>
      <c r="W42" s="1"/>
      <c r="X42" s="1" t="s">
        <v>628</v>
      </c>
      <c r="Y42" s="1"/>
      <c r="Z42" s="1" t="s">
        <v>629</v>
      </c>
      <c r="AA42" s="1"/>
      <c r="AB42" s="1"/>
      <c r="AC42" s="1"/>
      <c r="AD42" s="1"/>
      <c r="AE42" s="1"/>
      <c r="AF42" s="1"/>
      <c r="AG42" s="1"/>
      <c r="AH42" s="1"/>
      <c r="AI42" s="1"/>
      <c r="AJ42" s="1"/>
      <c r="AK42" s="1"/>
      <c r="AL42" s="1"/>
      <c r="AM42" s="1"/>
      <c r="AN42" s="1"/>
      <c r="AO42" s="1"/>
      <c r="AP42" s="1"/>
      <c r="AQ42" s="1"/>
      <c r="AR42" s="1"/>
      <c r="AS42" s="1"/>
      <c r="AT42" s="1" t="s">
        <v>644</v>
      </c>
      <c r="AU42" s="1"/>
      <c r="AV42" s="1" t="s">
        <v>645</v>
      </c>
      <c r="AW42" s="1"/>
      <c r="AX42" s="1" t="s">
        <v>629</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191</v>
      </c>
      <c r="C44" t="s">
        <v>192</v>
      </c>
      <c r="D44" t="s">
        <v>193</v>
      </c>
      <c r="E44" t="s">
        <v>553</v>
      </c>
      <c r="F44" t="s">
        <v>554</v>
      </c>
      <c r="G44" t="s">
        <v>555</v>
      </c>
      <c r="H44" t="s">
        <v>556</v>
      </c>
      <c r="I44" t="s">
        <v>557</v>
      </c>
      <c r="J44" t="s">
        <v>558</v>
      </c>
      <c r="K44" t="s">
        <v>559</v>
      </c>
      <c r="L44" t="s">
        <v>534</v>
      </c>
      <c r="S44" s="1"/>
      <c r="T44" s="1"/>
      <c r="V44" t="s">
        <v>593</v>
      </c>
      <c r="W44" t="s">
        <v>594</v>
      </c>
      <c r="X44" t="s">
        <v>593</v>
      </c>
      <c r="Y44" t="s">
        <v>594</v>
      </c>
      <c r="Z44" t="s">
        <v>562</v>
      </c>
      <c r="AA44" s="1" t="s">
        <v>563</v>
      </c>
      <c r="AB44" s="1"/>
      <c r="AC44" s="1"/>
      <c r="AD44" s="1"/>
      <c r="AE44" s="1"/>
      <c r="AF44" s="1"/>
      <c r="AG44" s="1"/>
      <c r="AH44" s="1"/>
      <c r="AI44" s="1"/>
      <c r="AJ44" s="1"/>
      <c r="AK44" s="1"/>
      <c r="AL44" s="1"/>
      <c r="AM44" s="1"/>
      <c r="AN44" s="1"/>
      <c r="AO44" s="1"/>
      <c r="AP44" s="1"/>
      <c r="AQ44" s="1"/>
      <c r="AR44" s="1"/>
      <c r="AS44" s="1"/>
      <c r="AT44" t="s">
        <v>593</v>
      </c>
      <c r="AU44" t="s">
        <v>594</v>
      </c>
      <c r="AV44" t="s">
        <v>593</v>
      </c>
      <c r="AW44" t="s">
        <v>594</v>
      </c>
      <c r="AX44" t="s">
        <v>562</v>
      </c>
      <c r="AY44" s="1" t="s">
        <v>563</v>
      </c>
      <c r="AZ44" s="1"/>
      <c r="BA44" s="1"/>
      <c r="BB44" s="1"/>
      <c r="BC44" s="1"/>
      <c r="BI44">
        <v>14</v>
      </c>
    </row>
    <row r="45" spans="1:61" ht="11.25"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394</v>
      </c>
      <c r="E46" s="1">
        <v>1</v>
      </c>
      <c r="S46">
        <f>INDEX(PT_DIFFERENTIATION_NUM_NTAR,MATCH(A46,PT_DIFFERENTIATION_NTAR_ID,0))</f>
        <v>0</v>
      </c>
      <c r="T46" t="s">
        <v>179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394</v>
      </c>
      <c r="B47" t="s">
        <v>395</v>
      </c>
      <c r="E47" s="1"/>
      <c r="F47" s="1">
        <v>1</v>
      </c>
      <c r="S47" t="str">
        <f>INDEX(PT_DIFFERENTIATION_NUM_TER,MATCH(B47,PT_DIFFERENTIATION_TER_ID,0))</f>
        <v>.</v>
      </c>
      <c r="T47" t="s">
        <v>515</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516</v>
      </c>
      <c r="BF47" t="str">
        <f t="shared" si="3"/>
        <v>Территория действия тарифа</v>
      </c>
      <c r="BI47">
        <v>21</v>
      </c>
    </row>
    <row r="48" spans="1:61" ht="35.65" customHeight="1" x14ac:dyDescent="0.15">
      <c r="A48" t="s">
        <v>394</v>
      </c>
      <c r="B48" t="s">
        <v>395</v>
      </c>
      <c r="C48" t="s">
        <v>396</v>
      </c>
      <c r="E48" s="1"/>
      <c r="F48" s="1"/>
      <c r="G48" s="1">
        <v>1</v>
      </c>
      <c r="S48" t="str">
        <f>INDEX(PT_DIFFERENTIATION_NUM_CS,MATCH(C48,PT_DIFFERENTIATION_CS_ID,0))</f>
        <v>..</v>
      </c>
      <c r="T48" t="s">
        <v>631</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632</v>
      </c>
      <c r="BF48" t="str">
        <f t="shared" si="3"/>
        <v>Наименование централизованной системы водоотведения</v>
      </c>
      <c r="BI48">
        <v>34</v>
      </c>
    </row>
    <row r="49" spans="1:61" ht="0" hidden="1" customHeight="1" x14ac:dyDescent="0.15">
      <c r="A49" t="s">
        <v>394</v>
      </c>
      <c r="B49" t="s">
        <v>395</v>
      </c>
      <c r="C49" t="s">
        <v>396</v>
      </c>
      <c r="D49" t="s">
        <v>646</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520</v>
      </c>
      <c r="BF49" t="str">
        <f t="shared" si="3"/>
        <v/>
      </c>
      <c r="BI49">
        <v>0</v>
      </c>
    </row>
    <row r="50" spans="1:61" ht="0" hidden="1" customHeight="1" x14ac:dyDescent="0.15">
      <c r="A50" t="s">
        <v>394</v>
      </c>
      <c r="B50" t="s">
        <v>395</v>
      </c>
      <c r="C50" t="s">
        <v>396</v>
      </c>
      <c r="D50" t="s">
        <v>646</v>
      </c>
      <c r="E50" s="1"/>
      <c r="F50" s="1"/>
      <c r="G50" s="1"/>
      <c r="H50" s="1"/>
      <c r="I50" s="1" t="str">
        <f>S49&amp;".1"</f>
        <v>.1</v>
      </c>
      <c r="L50" t="s">
        <v>521</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394</v>
      </c>
      <c r="B51" t="s">
        <v>395</v>
      </c>
      <c r="C51" t="s">
        <v>396</v>
      </c>
      <c r="D51" t="s">
        <v>646</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394</v>
      </c>
      <c r="B52" t="s">
        <v>395</v>
      </c>
      <c r="C52" t="s">
        <v>396</v>
      </c>
      <c r="D52" t="s">
        <v>646</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616</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617</v>
      </c>
      <c r="BC53" s="1"/>
      <c r="BI53">
        <v>11</v>
      </c>
    </row>
    <row r="54" spans="1:61" ht="11.45" customHeight="1" x14ac:dyDescent="0.15">
      <c r="A54" t="s">
        <v>394</v>
      </c>
      <c r="E54" s="1"/>
      <c r="F54" s="1"/>
      <c r="G54" s="1"/>
      <c r="H54" s="1"/>
      <c r="I54" s="1"/>
      <c r="J54" s="1"/>
      <c r="K54" s="1"/>
      <c r="P54" s="1"/>
      <c r="Q54" s="1"/>
      <c r="S54" s="1"/>
      <c r="T54" s="1"/>
      <c r="AD54" s="1"/>
      <c r="AE54" s="1"/>
      <c r="AF54" s="1"/>
      <c r="AG54" s="1"/>
      <c r="AH54" s="1"/>
      <c r="AI54" s="1"/>
      <c r="AJ54" s="1"/>
      <c r="AK54" s="1"/>
      <c r="AL54" s="1"/>
      <c r="AO54" t="s">
        <v>639</v>
      </c>
      <c r="BC54" s="1"/>
      <c r="BI54">
        <v>11</v>
      </c>
    </row>
    <row r="55" spans="1:61" ht="11.45" customHeight="1" x14ac:dyDescent="0.15">
      <c r="A55" t="s">
        <v>394</v>
      </c>
      <c r="E55" s="1"/>
      <c r="F55" s="1"/>
      <c r="G55" s="1"/>
      <c r="H55" s="1"/>
      <c r="I55" s="1"/>
      <c r="J55" s="1"/>
      <c r="K55" s="1"/>
      <c r="P55" s="1"/>
      <c r="Q55" s="1"/>
      <c r="S55" s="1"/>
      <c r="T55" s="1"/>
      <c r="AD55" s="1"/>
      <c r="AE55" s="1"/>
      <c r="AF55" s="1"/>
      <c r="AG55" s="1"/>
      <c r="AH55" s="1"/>
      <c r="AK55" t="s">
        <v>640</v>
      </c>
      <c r="BC55" s="1"/>
      <c r="BI55">
        <v>11</v>
      </c>
    </row>
    <row r="56" spans="1:61" ht="11.45" customHeight="1" x14ac:dyDescent="0.15">
      <c r="A56" t="s">
        <v>394</v>
      </c>
      <c r="B56" t="s">
        <v>395</v>
      </c>
      <c r="C56" t="s">
        <v>396</v>
      </c>
      <c r="D56" t="s">
        <v>646</v>
      </c>
      <c r="E56" s="1"/>
      <c r="F56" s="1"/>
      <c r="G56" s="1"/>
      <c r="H56" s="1"/>
      <c r="I56" s="1"/>
      <c r="J56" s="1"/>
      <c r="K56" s="1"/>
      <c r="P56" s="1"/>
      <c r="Q56" s="1"/>
      <c r="S56" s="1"/>
      <c r="T56" s="1"/>
      <c r="W56" t="str">
        <f>Z52&amp;"-"&amp;AB52</f>
        <v>-</v>
      </c>
      <c r="Y56" t="str">
        <f>AB52&amp;"-"&amp;AD52</f>
        <v>-да</v>
      </c>
      <c r="AD56" s="1"/>
      <c r="AG56" t="s">
        <v>620</v>
      </c>
      <c r="AU56" t="str">
        <f>AX52&amp;"-"&amp;AZ52</f>
        <v>-</v>
      </c>
      <c r="AW56" t="str">
        <f>AZ52&amp;"-"&amp;BB52</f>
        <v>-</v>
      </c>
      <c r="BB56" t="str">
        <f>BE52&amp;"-"&amp;BG52</f>
        <v>-</v>
      </c>
      <c r="BC56" s="1"/>
      <c r="BF56" t="str">
        <f t="shared" ref="BF56:BF63" si="4">IF(T56="","",T56)</f>
        <v/>
      </c>
      <c r="BI56">
        <v>11</v>
      </c>
    </row>
    <row r="57" spans="1:61" ht="11.45" customHeight="1" x14ac:dyDescent="0.15">
      <c r="A57" t="s">
        <v>394</v>
      </c>
      <c r="B57" t="s">
        <v>395</v>
      </c>
      <c r="C57" t="s">
        <v>396</v>
      </c>
      <c r="D57" t="s">
        <v>646</v>
      </c>
      <c r="E57" s="1"/>
      <c r="F57" s="1"/>
      <c r="G57" s="1"/>
      <c r="H57" s="1"/>
      <c r="I57" s="1"/>
      <c r="J57" s="1"/>
      <c r="P57" s="1"/>
      <c r="Q57" s="1"/>
      <c r="T57" t="s">
        <v>583</v>
      </c>
      <c r="BC57" s="1"/>
      <c r="BF57" t="str">
        <f t="shared" si="4"/>
        <v>Добавить строку</v>
      </c>
      <c r="BI57">
        <v>11</v>
      </c>
    </row>
    <row r="58" spans="1:61" ht="0" hidden="1" customHeight="1" x14ac:dyDescent="0.15">
      <c r="A58" t="s">
        <v>394</v>
      </c>
      <c r="B58" t="s">
        <v>395</v>
      </c>
      <c r="C58" t="s">
        <v>396</v>
      </c>
      <c r="D58" t="s">
        <v>646</v>
      </c>
      <c r="E58" s="1"/>
      <c r="F58" s="1"/>
      <c r="G58" s="1"/>
      <c r="H58" s="1"/>
      <c r="I58" s="1"/>
      <c r="P58" s="1"/>
      <c r="BF58" t="str">
        <f t="shared" si="4"/>
        <v/>
      </c>
      <c r="BI58">
        <v>0</v>
      </c>
    </row>
    <row r="59" spans="1:61" ht="0" hidden="1" customHeight="1" x14ac:dyDescent="0.15">
      <c r="A59" t="s">
        <v>394</v>
      </c>
      <c r="B59" t="s">
        <v>395</v>
      </c>
      <c r="C59" t="s">
        <v>396</v>
      </c>
      <c r="D59" t="s">
        <v>646</v>
      </c>
      <c r="E59" s="1"/>
      <c r="F59" s="1"/>
      <c r="G59" s="1"/>
      <c r="H59" s="1"/>
      <c r="BF59" t="str">
        <f t="shared" si="4"/>
        <v/>
      </c>
      <c r="BI59">
        <v>0</v>
      </c>
    </row>
    <row r="60" spans="1:61" ht="0" hidden="1" customHeight="1" x14ac:dyDescent="0.15">
      <c r="A60" t="s">
        <v>394</v>
      </c>
      <c r="B60" t="s">
        <v>395</v>
      </c>
      <c r="C60" t="s">
        <v>396</v>
      </c>
      <c r="E60" s="1"/>
      <c r="F60" s="1"/>
      <c r="G60" s="1"/>
      <c r="BF60" t="str">
        <f t="shared" si="4"/>
        <v/>
      </c>
      <c r="BI60">
        <v>0</v>
      </c>
    </row>
    <row r="61" spans="1:61" ht="0" hidden="1" customHeight="1" x14ac:dyDescent="0.15">
      <c r="A61" t="s">
        <v>394</v>
      </c>
      <c r="B61" t="s">
        <v>395</v>
      </c>
      <c r="E61" s="1"/>
      <c r="F61" s="1"/>
      <c r="T61" t="s">
        <v>321</v>
      </c>
      <c r="BF61" t="str">
        <f t="shared" si="4"/>
        <v>Добавить централизованную систему для дифференциации</v>
      </c>
      <c r="BI61">
        <v>0</v>
      </c>
    </row>
    <row r="62" spans="1:61" ht="0" hidden="1" customHeight="1" x14ac:dyDescent="0.15">
      <c r="A62" t="s">
        <v>394</v>
      </c>
      <c r="E62" s="1"/>
      <c r="T62" t="s">
        <v>385</v>
      </c>
      <c r="BF62" t="str">
        <f t="shared" si="4"/>
        <v>Добавить территорию для дифференциации</v>
      </c>
      <c r="BI62">
        <v>0</v>
      </c>
    </row>
    <row r="63" spans="1:61" ht="0" hidden="1" customHeight="1" x14ac:dyDescent="0.15">
      <c r="T63" t="s">
        <v>386</v>
      </c>
      <c r="BF63" t="str">
        <f t="shared" si="4"/>
        <v>Добавить наименование тарифа</v>
      </c>
      <c r="BI63">
        <v>0</v>
      </c>
    </row>
    <row r="64" spans="1:61" ht="11.45" customHeight="1" x14ac:dyDescent="0.15">
      <c r="BI64">
        <v>11</v>
      </c>
    </row>
    <row r="65" spans="1:61" ht="14.65"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14</v>
      </c>
    </row>
    <row r="66" spans="1:61" ht="14.65" customHeight="1" x14ac:dyDescent="0.15">
      <c r="BI66">
        <v>14</v>
      </c>
    </row>
    <row r="67" spans="1:61" ht="14.65"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14</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x14ac:dyDescent="0.15">
      <c r="AY1" t="s">
        <v>14</v>
      </c>
    </row>
    <row r="2" spans="5:51" ht="23.25" hidden="1" customHeight="1" x14ac:dyDescent="0.15">
      <c r="E2" s="1">
        <v>1</v>
      </c>
      <c r="S2" t="e">
        <f>INDEX(PT_DIFFERENTIATION_NUM_NTAR,MATCH(A2,PT_DIFFERENTIATION_NTAR_ID,0))</f>
        <v>#N/A</v>
      </c>
      <c r="T2" t="s">
        <v>179</v>
      </c>
      <c r="V2" s="1"/>
      <c r="W2" s="1"/>
      <c r="X2" s="1"/>
      <c r="Y2" s="1"/>
      <c r="Z2" s="1"/>
      <c r="AA2" s="1"/>
      <c r="AB2" s="1"/>
      <c r="AC2" s="1"/>
      <c r="AD2" s="1"/>
      <c r="AE2" s="1"/>
      <c r="AF2" s="1"/>
      <c r="AG2" s="1" t="e">
        <f>INDEX(PT_DIFFERENTIATION_NTAR,MATCH(A2,PT_DIFFERENTIATION_NTAR_ID,0))</f>
        <v>#N/A</v>
      </c>
      <c r="AH2" s="1"/>
      <c r="AI2" s="1"/>
      <c r="AJ2" s="1"/>
      <c r="AK2" s="1"/>
      <c r="AL2" s="1"/>
      <c r="AM2" s="1"/>
      <c r="AN2" s="1"/>
      <c r="AO2" s="1"/>
      <c r="AP2" s="1"/>
      <c r="AQ2" s="1"/>
      <c r="AR2" s="1"/>
      <c r="AS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2" t="str">
        <f t="shared" ref="AV2:AV13" si="0">IF(T2="","",T2)</f>
        <v>Наименование тарифа</v>
      </c>
      <c r="AY2">
        <v>0</v>
      </c>
    </row>
    <row r="3" spans="5:51" ht="23.25" hidden="1" customHeight="1" x14ac:dyDescent="0.15">
      <c r="E3" s="1"/>
      <c r="F3" s="1">
        <v>1</v>
      </c>
      <c r="S3" t="e">
        <f>INDEX(PT_DIFFERENTIATION_NUM_TER,MATCH(B3,PT_DIFFERENTIATION_TER_ID,0))</f>
        <v>#N/A</v>
      </c>
      <c r="T3" t="s">
        <v>515</v>
      </c>
      <c r="V3" s="1"/>
      <c r="W3" s="1"/>
      <c r="X3" s="1"/>
      <c r="Y3" s="1"/>
      <c r="Z3" s="1"/>
      <c r="AA3" s="1"/>
      <c r="AB3" s="1"/>
      <c r="AC3" s="1"/>
      <c r="AD3" s="1"/>
      <c r="AE3" s="1"/>
      <c r="AF3" s="1"/>
      <c r="AG3" s="1" t="e">
        <f>INDEX(PT_DIFFERENTIATION_TER,MATCH(B3,PT_DIFFERENTIATION_TER_ID,0))</f>
        <v>#N/A</v>
      </c>
      <c r="AH3" s="1"/>
      <c r="AI3" s="1"/>
      <c r="AJ3" s="1"/>
      <c r="AK3" s="1"/>
      <c r="AL3" s="1"/>
      <c r="AM3" s="1"/>
      <c r="AN3" s="1"/>
      <c r="AO3" s="1"/>
      <c r="AP3" s="1"/>
      <c r="AQ3" s="1"/>
      <c r="AR3" s="1"/>
      <c r="AS3" t="s">
        <v>516</v>
      </c>
      <c r="AV3" t="str">
        <f t="shared" si="0"/>
        <v>Территория действия тарифа</v>
      </c>
      <c r="AY3">
        <v>0</v>
      </c>
    </row>
    <row r="4" spans="5:51" ht="23.25" hidden="1" customHeight="1" x14ac:dyDescent="0.15">
      <c r="E4" s="1"/>
      <c r="F4" s="1"/>
      <c r="G4" s="1">
        <v>1</v>
      </c>
      <c r="S4" t="e">
        <f>INDEX(PT_DIFFERENTIATION_NUM_CS,MATCH(C4,PT_DIFFERENTIATION_CS_ID,0))</f>
        <v>#N/A</v>
      </c>
      <c r="T4" t="s">
        <v>647</v>
      </c>
      <c r="V4" s="1"/>
      <c r="W4" s="1"/>
      <c r="X4" s="1"/>
      <c r="Y4" s="1"/>
      <c r="Z4" s="1"/>
      <c r="AA4" s="1"/>
      <c r="AB4" s="1"/>
      <c r="AC4" s="1"/>
      <c r="AD4" s="1"/>
      <c r="AE4" s="1"/>
      <c r="AF4" s="1"/>
      <c r="AG4" s="1" t="e">
        <f>INDEX(PT_DIFFERENTIATION_CS,MATCH(C4,PT_DIFFERENTIATION_CS_ID,0))</f>
        <v>#N/A</v>
      </c>
      <c r="AH4" s="1"/>
      <c r="AI4" s="1"/>
      <c r="AJ4" s="1"/>
      <c r="AK4" s="1"/>
      <c r="AL4" s="1"/>
      <c r="AM4" s="1"/>
      <c r="AN4" s="1"/>
      <c r="AO4" s="1"/>
      <c r="AP4" s="1"/>
      <c r="AQ4" s="1"/>
      <c r="AR4" s="1"/>
      <c r="AS4" t="s">
        <v>648</v>
      </c>
      <c r="AV4" t="str">
        <f t="shared" si="0"/>
        <v>Наименование централизованной системы горячего водоснабжения</v>
      </c>
      <c r="AY4">
        <v>0</v>
      </c>
    </row>
    <row r="5" spans="5:51"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s="1"/>
      <c r="AL5" s="1"/>
      <c r="AM5" s="1"/>
      <c r="AN5" s="1"/>
      <c r="AO5" s="1"/>
      <c r="AP5" s="1"/>
      <c r="AQ5" s="1"/>
      <c r="AR5" s="1"/>
      <c r="AS5" t="s">
        <v>599</v>
      </c>
      <c r="AV5" t="str">
        <f t="shared" si="0"/>
        <v>Наименование признака дифференциации</v>
      </c>
      <c r="AY5">
        <v>0</v>
      </c>
    </row>
    <row r="6" spans="5:51"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s="1"/>
      <c r="AL6" s="1"/>
      <c r="AM6" s="1"/>
      <c r="AN6" s="1"/>
      <c r="AO6" s="1"/>
      <c r="AP6" s="1"/>
      <c r="AQ6" s="1"/>
      <c r="AR6" s="1"/>
      <c r="AS6" t="s">
        <v>600</v>
      </c>
      <c r="AV6" t="str">
        <f t="shared" si="0"/>
        <v>Группа потребителей</v>
      </c>
      <c r="AY6">
        <v>0</v>
      </c>
    </row>
    <row r="7" spans="5:51" ht="23.25" hidden="1" customHeight="1" x14ac:dyDescent="0.15">
      <c r="E7" s="1"/>
      <c r="F7" s="1"/>
      <c r="G7" s="1"/>
      <c r="H7" s="1"/>
      <c r="I7" s="1"/>
      <c r="J7" s="1"/>
      <c r="K7" s="1" t="e">
        <f>J6&amp;".1"</f>
        <v>#N/A</v>
      </c>
      <c r="P7" s="1"/>
      <c r="Q7" s="1"/>
      <c r="R7">
        <v>1</v>
      </c>
      <c r="S7" t="e">
        <f>$K7</f>
        <v>#N/A</v>
      </c>
      <c r="AC7" s="1"/>
      <c r="AD7" s="1" t="s">
        <v>63</v>
      </c>
      <c r="AE7" s="1"/>
      <c r="AF7" s="1" t="s">
        <v>63</v>
      </c>
      <c r="AN7" s="1"/>
      <c r="AO7" s="1" t="s">
        <v>63</v>
      </c>
      <c r="AP7" s="1"/>
      <c r="AQ7" s="1" t="s">
        <v>63</v>
      </c>
      <c r="AS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t="e">
        <f ca="1">STRCHECKDATE(V8:AR8)</f>
        <v>#NAME?</v>
      </c>
      <c r="AV7" t="str">
        <f t="shared" si="0"/>
        <v/>
      </c>
      <c r="AY7">
        <v>0</v>
      </c>
    </row>
    <row r="8" spans="5:51" ht="14.25" hidden="1" customHeight="1" x14ac:dyDescent="0.15">
      <c r="E8" s="1"/>
      <c r="F8" s="1"/>
      <c r="G8" s="1"/>
      <c r="H8" s="1"/>
      <c r="I8" s="1"/>
      <c r="J8" s="1"/>
      <c r="K8" s="1"/>
      <c r="P8" s="1"/>
      <c r="Q8" s="1"/>
      <c r="AC8" s="1"/>
      <c r="AD8" s="1"/>
      <c r="AE8" s="1"/>
      <c r="AF8" s="1"/>
      <c r="AN8" s="1"/>
      <c r="AO8" s="1"/>
      <c r="AP8" s="1"/>
      <c r="AQ8" s="1"/>
      <c r="AS8" s="1"/>
      <c r="AV8" t="str">
        <f t="shared" si="0"/>
        <v/>
      </c>
      <c r="AY8">
        <v>0</v>
      </c>
    </row>
    <row r="9" spans="5:51" ht="21" hidden="1" customHeight="1" x14ac:dyDescent="0.15">
      <c r="E9" s="1"/>
      <c r="F9" s="1"/>
      <c r="G9" s="1"/>
      <c r="H9" s="1"/>
      <c r="I9" s="1"/>
      <c r="J9" s="1"/>
      <c r="P9" s="1"/>
      <c r="Q9" s="1"/>
      <c r="T9" t="s">
        <v>601</v>
      </c>
      <c r="AS9" t="s">
        <v>602</v>
      </c>
      <c r="AV9" t="str">
        <f t="shared" si="0"/>
        <v>Добавить значение признака дифференциации</v>
      </c>
      <c r="AY9">
        <v>0</v>
      </c>
    </row>
    <row r="10" spans="5:51" ht="21" hidden="1" customHeight="1" x14ac:dyDescent="0.15">
      <c r="E10" s="1"/>
      <c r="F10" s="1"/>
      <c r="G10" s="1"/>
      <c r="H10" s="1"/>
      <c r="I10" s="1"/>
      <c r="P10" s="1"/>
      <c r="T10" t="s">
        <v>530</v>
      </c>
      <c r="AV10" t="str">
        <f t="shared" si="0"/>
        <v>Добавить группу потребителей</v>
      </c>
      <c r="AY10">
        <v>0</v>
      </c>
    </row>
    <row r="11" spans="5:51" ht="21" hidden="1" customHeight="1" x14ac:dyDescent="0.15">
      <c r="E11" s="1"/>
      <c r="F11" s="1"/>
      <c r="G11" s="1"/>
      <c r="H11" s="1"/>
      <c r="T11" t="s">
        <v>603</v>
      </c>
      <c r="AV11" t="str">
        <f t="shared" si="0"/>
        <v>Добавить наименование признака дифференциации</v>
      </c>
      <c r="AY11">
        <v>0</v>
      </c>
    </row>
    <row r="12" spans="5:51" ht="14.25" hidden="1" customHeight="1" x14ac:dyDescent="0.15">
      <c r="E12" s="1"/>
      <c r="F12" s="1"/>
      <c r="T12" t="s">
        <v>321</v>
      </c>
      <c r="AV12" t="str">
        <f t="shared" si="0"/>
        <v>Добавить централизованную систему для дифференциации</v>
      </c>
      <c r="AY12">
        <v>0</v>
      </c>
    </row>
    <row r="13" spans="5:51" ht="14.25" hidden="1" customHeight="1" x14ac:dyDescent="0.15">
      <c r="E13" s="1"/>
      <c r="T13" t="s">
        <v>385</v>
      </c>
      <c r="AV13" t="str">
        <f t="shared" si="0"/>
        <v>Добавить территорию для дифференциации</v>
      </c>
      <c r="AY13">
        <v>0</v>
      </c>
    </row>
    <row r="14" spans="5:51" ht="14.25" hidden="1" customHeight="1" x14ac:dyDescent="0.15">
      <c r="AY14">
        <v>0</v>
      </c>
    </row>
    <row r="15" spans="5:51" ht="14.25" hidden="1" customHeight="1" x14ac:dyDescent="0.15">
      <c r="AN15" s="1"/>
      <c r="AO15" s="1" t="s">
        <v>63</v>
      </c>
      <c r="AP15" s="1"/>
      <c r="AQ15" s="1" t="s">
        <v>63</v>
      </c>
      <c r="AY15">
        <v>0</v>
      </c>
    </row>
    <row r="16" spans="5:51" ht="14.25" hidden="1" customHeight="1" x14ac:dyDescent="0.15">
      <c r="AN16" s="1"/>
      <c r="AO16" s="1"/>
      <c r="AP16" s="1"/>
      <c r="AQ16" s="1"/>
      <c r="AY16">
        <v>0</v>
      </c>
    </row>
    <row r="17" spans="15:51" ht="14.25" hidden="1" customHeight="1" x14ac:dyDescent="0.15">
      <c r="AY17">
        <v>0</v>
      </c>
    </row>
    <row r="18" spans="15:51" ht="22.5" hidden="1" customHeight="1" x14ac:dyDescent="0.15">
      <c r="O18" t="s">
        <v>533</v>
      </c>
      <c r="AY18">
        <v>0</v>
      </c>
    </row>
    <row r="19" spans="15:51" ht="14.25" hidden="1" customHeight="1" x14ac:dyDescent="0.15">
      <c r="AY19">
        <v>0</v>
      </c>
    </row>
    <row r="20" spans="15:51" ht="12" hidden="1" customHeight="1" x14ac:dyDescent="0.15">
      <c r="O20" t="s">
        <v>534</v>
      </c>
      <c r="T20" t="s">
        <v>535</v>
      </c>
      <c r="AD20" t="s">
        <v>536</v>
      </c>
      <c r="AF20" t="s">
        <v>537</v>
      </c>
      <c r="AG20" t="s">
        <v>535</v>
      </c>
      <c r="AO20" t="s">
        <v>538</v>
      </c>
      <c r="AQ20" t="s">
        <v>537</v>
      </c>
      <c r="AY20">
        <v>0</v>
      </c>
    </row>
    <row r="21" spans="15:51" ht="14.25" hidden="1" customHeight="1" x14ac:dyDescent="0.15">
      <c r="AY21">
        <v>0</v>
      </c>
    </row>
    <row r="22" spans="15:51" ht="14.25" hidden="1" customHeight="1" x14ac:dyDescent="0.15">
      <c r="AY22">
        <v>0</v>
      </c>
    </row>
    <row r="23" spans="15:51" ht="14.65" customHeight="1" x14ac:dyDescent="0.15">
      <c r="AY23">
        <v>14</v>
      </c>
    </row>
    <row r="24" spans="15:51" ht="26.25" customHeight="1" x14ac:dyDescent="0.15">
      <c r="S24" s="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
      <c r="U24" s="1"/>
      <c r="V24" s="1"/>
      <c r="W24" s="1"/>
      <c r="X24" s="1"/>
      <c r="Y24" s="1"/>
      <c r="Z24" s="1"/>
      <c r="AA24" s="1"/>
      <c r="AB24" s="1"/>
      <c r="AC24" s="1"/>
      <c r="AD24" s="1"/>
      <c r="AE24" s="1"/>
      <c r="AF24" s="1"/>
      <c r="AG24" s="1"/>
      <c r="AH24" s="1"/>
      <c r="AI24" s="1"/>
      <c r="AJ24" s="1"/>
      <c r="AK24" s="1"/>
      <c r="AL24" s="1"/>
      <c r="AM24" s="1"/>
      <c r="AN24" s="1"/>
      <c r="AO24" s="1"/>
      <c r="AP24" s="1"/>
      <c r="AY24">
        <v>25</v>
      </c>
    </row>
    <row r="25" spans="15:51"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I25" s="1"/>
      <c r="AJ25" s="1"/>
      <c r="AK25" s="1"/>
      <c r="AL25" s="1"/>
      <c r="AM25" s="1"/>
      <c r="AN25" s="1"/>
      <c r="AO25" s="1"/>
      <c r="AP25" s="1"/>
      <c r="AY25">
        <v>14</v>
      </c>
    </row>
    <row r="26" spans="15:51" ht="14.25" customHeight="1" x14ac:dyDescent="0.15">
      <c r="AY26">
        <v>0</v>
      </c>
    </row>
    <row r="27" spans="15:51"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B27" s="1"/>
      <c r="AC27" s="1"/>
      <c r="AD27" s="1"/>
      <c r="AE27" s="1"/>
      <c r="AG27" s="1" t="str">
        <f>IF(TITLE_NAME_OR_PR_CHANGE="",IF(TITLE_NAME_OR_PR="","",TITLE_NAME_OR_PR),TITLE_NAME_OR_PR_CHANGE)</f>
        <v>Агентство по тарифам Приморского края</v>
      </c>
      <c r="AH27" s="1"/>
      <c r="AI27" s="1"/>
      <c r="AJ27" s="1"/>
      <c r="AK27" s="1"/>
      <c r="AL27" s="1"/>
      <c r="AM27" s="1"/>
      <c r="AN27" s="1"/>
      <c r="AO27" s="1"/>
      <c r="AP27" s="1"/>
      <c r="AY27">
        <v>0</v>
      </c>
    </row>
    <row r="28" spans="15:51" ht="18.75" customHeight="1" x14ac:dyDescent="0.15">
      <c r="S28" s="1" t="s">
        <v>539</v>
      </c>
      <c r="T28" s="1"/>
      <c r="V28" s="1">
        <f>IF(TITLE_DATE_PR_CHANGE="",IF(TITLE_DATE_PR="","",TITLE_DATE_PR),TITLE_DATE_PR_CHANGE)</f>
        <v>45653.495844907404</v>
      </c>
      <c r="W28" s="1"/>
      <c r="X28" s="1"/>
      <c r="Y28" s="1"/>
      <c r="Z28" s="1"/>
      <c r="AA28" s="1"/>
      <c r="AB28" s="1"/>
      <c r="AC28" s="1"/>
      <c r="AD28" s="1"/>
      <c r="AE28" s="1"/>
      <c r="AG28" s="1">
        <f>IF(TITLE_DATE_PR_CHANGE="",IF(TITLE_DATE_PR="","",TITLE_DATE_PR),TITLE_DATE_PR_CHANGE)</f>
        <v>45653.495844907404</v>
      </c>
      <c r="AH28" s="1"/>
      <c r="AI28" s="1"/>
      <c r="AJ28" s="1"/>
      <c r="AK28" s="1"/>
      <c r="AL28" s="1"/>
      <c r="AM28" s="1"/>
      <c r="AN28" s="1"/>
      <c r="AO28" s="1"/>
      <c r="AP28" s="1"/>
      <c r="AY28">
        <v>0</v>
      </c>
    </row>
    <row r="29" spans="15:51" ht="18.75" customHeight="1" x14ac:dyDescent="0.15">
      <c r="S29" s="1" t="s">
        <v>540</v>
      </c>
      <c r="T29" s="1"/>
      <c r="V29" s="1" t="str">
        <f>IF(TITLE_NUMBER_PR_CHANGE="",IF(TITLE_NUMBER_PR="","",TITLE_NUMBER_PR),TITLE_NUMBER_PR_CHANGE)</f>
        <v>63/2</v>
      </c>
      <c r="W29" s="1"/>
      <c r="X29" s="1"/>
      <c r="Y29" s="1"/>
      <c r="Z29" s="1"/>
      <c r="AA29" s="1"/>
      <c r="AB29" s="1"/>
      <c r="AC29" s="1"/>
      <c r="AD29" s="1"/>
      <c r="AE29" s="1"/>
      <c r="AG29" s="1" t="str">
        <f>IF(TITLE_NUMBER_PR_CHANGE="",IF(TITLE_NUMBER_PR="","",TITLE_NUMBER_PR),TITLE_NUMBER_PR_CHANGE)</f>
        <v>63/2</v>
      </c>
      <c r="AH29" s="1"/>
      <c r="AI29" s="1"/>
      <c r="AJ29" s="1"/>
      <c r="AK29" s="1"/>
      <c r="AL29" s="1"/>
      <c r="AM29" s="1"/>
      <c r="AN29" s="1"/>
      <c r="AO29" s="1"/>
      <c r="AP29" s="1"/>
      <c r="AY29">
        <v>0</v>
      </c>
    </row>
    <row r="30" spans="15:51" ht="18.75" customHeight="1" x14ac:dyDescent="0.15">
      <c r="S30" s="1" t="s">
        <v>44</v>
      </c>
      <c r="T30" s="1"/>
      <c r="V30" s="1" t="str">
        <f>IF(TITLE_IST_PUB_CHANGE="",IF(TITLE_IST_PUB="","",TITLE_IST_PUB),TITLE_IST_PUB_CHANGE)</f>
        <v>http://pravo.gov.ru</v>
      </c>
      <c r="W30" s="1"/>
      <c r="X30" s="1"/>
      <c r="Y30" s="1"/>
      <c r="Z30" s="1"/>
      <c r="AA30" s="1"/>
      <c r="AB30" s="1"/>
      <c r="AC30" s="1"/>
      <c r="AD30" s="1"/>
      <c r="AE30" s="1"/>
      <c r="AG30" s="1" t="str">
        <f>IF(TITLE_IST_PUB_CHANGE="",IF(TITLE_IST_PUB="","",TITLE_IST_PUB),TITLE_IST_PUB_CHANGE)</f>
        <v>http://pravo.gov.ru</v>
      </c>
      <c r="AH30" s="1"/>
      <c r="AI30" s="1"/>
      <c r="AJ30" s="1"/>
      <c r="AK30" s="1"/>
      <c r="AL30" s="1"/>
      <c r="AM30" s="1"/>
      <c r="AN30" s="1"/>
      <c r="AO30" s="1"/>
      <c r="AP30" s="1"/>
      <c r="AY30">
        <v>0</v>
      </c>
    </row>
    <row r="31" spans="15:51" ht="14.25" hidden="1" customHeight="1" x14ac:dyDescent="0.15">
      <c r="AY31">
        <v>0</v>
      </c>
    </row>
    <row r="32" spans="15:51" ht="18.75" hidden="1" customHeight="1" x14ac:dyDescent="0.15">
      <c r="S32" s="1" t="s">
        <v>541</v>
      </c>
      <c r="T32" s="1"/>
      <c r="V32" s="1">
        <f>IF(TITLE_DATE_PR_CHANGE="",IF(TITLE_DATE_PR="","",TITLE_DATE_PR),TITLE_DATE_PR_CHANGE)</f>
        <v>45653.495844907404</v>
      </c>
      <c r="W32" s="1"/>
      <c r="X32" s="1"/>
      <c r="Y32" s="1"/>
      <c r="Z32" s="1"/>
      <c r="AA32" s="1"/>
      <c r="AB32" s="1"/>
      <c r="AC32" s="1"/>
      <c r="AD32" s="1"/>
      <c r="AE32" s="1"/>
      <c r="AG32" s="1">
        <f>IF(TITLE_DATE_PR_CHANGE="",IF(TITLE_DATE_PR="","",TITLE_DATE_PR),TITLE_DATE_PR_CHANGE)</f>
        <v>45653.495844907404</v>
      </c>
      <c r="AH32" s="1"/>
      <c r="AI32" s="1"/>
      <c r="AJ32" s="1"/>
      <c r="AK32" s="1"/>
      <c r="AL32" s="1"/>
      <c r="AM32" s="1"/>
      <c r="AN32" s="1"/>
      <c r="AO32" s="1"/>
      <c r="AP32" s="1"/>
      <c r="AY32">
        <v>0</v>
      </c>
    </row>
    <row r="33" spans="1:51" ht="18.75" hidden="1" customHeight="1" x14ac:dyDescent="0.15">
      <c r="S33" s="1" t="s">
        <v>542</v>
      </c>
      <c r="T33" s="1"/>
      <c r="V33" s="1" t="str">
        <f>IF(TITLE_NUMBER_PR_CHANGE="",IF(TITLE_NUMBER_PR="","",TITLE_NUMBER_PR),TITLE_NUMBER_PR_CHANGE)</f>
        <v>63/2</v>
      </c>
      <c r="W33" s="1"/>
      <c r="X33" s="1"/>
      <c r="Y33" s="1"/>
      <c r="Z33" s="1"/>
      <c r="AA33" s="1"/>
      <c r="AB33" s="1"/>
      <c r="AC33" s="1"/>
      <c r="AD33" s="1"/>
      <c r="AE33" s="1"/>
      <c r="AG33" s="1" t="str">
        <f>IF(TITLE_NUMBER_PR_CHANGE="",IF(TITLE_NUMBER_PR="","",TITLE_NUMBER_PR),TITLE_NUMBER_PR_CHANGE)</f>
        <v>63/2</v>
      </c>
      <c r="AH33" s="1"/>
      <c r="AI33" s="1"/>
      <c r="AJ33" s="1"/>
      <c r="AK33" s="1"/>
      <c r="AL33" s="1"/>
      <c r="AM33" s="1"/>
      <c r="AN33" s="1"/>
      <c r="AO33" s="1"/>
      <c r="AP33" s="1"/>
      <c r="AY33">
        <v>0</v>
      </c>
    </row>
    <row r="34" spans="1:51" ht="1.1499999999999999" customHeight="1" x14ac:dyDescent="0.15">
      <c r="AF34" t="s">
        <v>543</v>
      </c>
      <c r="AQ34" t="s">
        <v>543</v>
      </c>
      <c r="AY34">
        <v>1</v>
      </c>
    </row>
    <row r="35" spans="1:51" ht="14.65" customHeight="1" x14ac:dyDescent="0.15">
      <c r="V35" s="1"/>
      <c r="W35" s="1"/>
      <c r="X35" s="1"/>
      <c r="Y35" s="1"/>
      <c r="Z35" s="1"/>
      <c r="AA35" s="1"/>
      <c r="AB35" s="1"/>
      <c r="AC35" s="1"/>
      <c r="AD35" s="1"/>
      <c r="AE35" s="1"/>
      <c r="AF35" s="1"/>
      <c r="AG35" s="1"/>
      <c r="AH35" s="1"/>
      <c r="AI35" s="1"/>
      <c r="AJ35" s="1"/>
      <c r="AK35" s="1"/>
      <c r="AL35" s="1"/>
      <c r="AM35" s="1"/>
      <c r="AN35" s="1"/>
      <c r="AO35" s="1"/>
      <c r="AP35" s="1"/>
      <c r="AQ35" s="1"/>
      <c r="AY35">
        <v>14</v>
      </c>
    </row>
    <row r="36" spans="1:51" ht="14.65" customHeight="1" x14ac:dyDescent="0.15">
      <c r="S36" s="1" t="s">
        <v>418</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t="s">
        <v>419</v>
      </c>
      <c r="AY36">
        <v>14</v>
      </c>
    </row>
    <row r="37" spans="1:51" ht="14.65" customHeight="1" x14ac:dyDescent="0.15">
      <c r="S37" s="1" t="s">
        <v>90</v>
      </c>
      <c r="T37" s="1" t="s">
        <v>544</v>
      </c>
      <c r="V37" s="1" t="s">
        <v>545</v>
      </c>
      <c r="W37" s="1"/>
      <c r="X37" s="1"/>
      <c r="Y37" s="1"/>
      <c r="Z37" s="1"/>
      <c r="AA37" s="1"/>
      <c r="AB37" s="1"/>
      <c r="AC37" s="1"/>
      <c r="AD37" s="1"/>
      <c r="AE37" s="1"/>
      <c r="AF37" s="1" t="s">
        <v>546</v>
      </c>
      <c r="AG37" s="1" t="s">
        <v>545</v>
      </c>
      <c r="AH37" s="1"/>
      <c r="AI37" s="1"/>
      <c r="AJ37" s="1"/>
      <c r="AK37" s="1"/>
      <c r="AL37" s="1"/>
      <c r="AM37" s="1"/>
      <c r="AN37" s="1"/>
      <c r="AO37" s="1"/>
      <c r="AP37" s="1"/>
      <c r="AQ37" s="1" t="s">
        <v>547</v>
      </c>
      <c r="AR37" s="1" t="s">
        <v>548</v>
      </c>
      <c r="AS37" s="1"/>
      <c r="AY37">
        <v>14</v>
      </c>
    </row>
    <row r="38" spans="1:51" ht="19.899999999999999" customHeight="1" x14ac:dyDescent="0.15">
      <c r="S38" s="1"/>
      <c r="T38" s="1"/>
      <c r="V38" s="1" t="s">
        <v>649</v>
      </c>
      <c r="W38" s="1" t="s">
        <v>650</v>
      </c>
      <c r="X38" s="1"/>
      <c r="Y38" s="1"/>
      <c r="Z38" s="1" t="s">
        <v>651</v>
      </c>
      <c r="AA38" s="1"/>
      <c r="AB38" s="1"/>
      <c r="AC38" s="1" t="s">
        <v>552</v>
      </c>
      <c r="AD38" s="1"/>
      <c r="AE38" s="1"/>
      <c r="AF38" s="1"/>
      <c r="AG38" s="1" t="s">
        <v>649</v>
      </c>
      <c r="AH38" s="1" t="s">
        <v>650</v>
      </c>
      <c r="AI38" s="1"/>
      <c r="AJ38" s="1"/>
      <c r="AK38" s="1" t="s">
        <v>651</v>
      </c>
      <c r="AL38" s="1"/>
      <c r="AM38" s="1"/>
      <c r="AN38" s="1" t="s">
        <v>552</v>
      </c>
      <c r="AO38" s="1"/>
      <c r="AP38" s="1"/>
      <c r="AQ38" s="1"/>
      <c r="AR38" s="1"/>
      <c r="AS38" s="1"/>
      <c r="AY38">
        <v>19</v>
      </c>
    </row>
    <row r="39" spans="1:51" ht="19.899999999999999" customHeight="1" x14ac:dyDescent="0.15">
      <c r="S39" s="1"/>
      <c r="T39" s="1"/>
      <c r="V39" s="1"/>
      <c r="W39" s="1" t="s">
        <v>652</v>
      </c>
      <c r="X39" s="1" t="s">
        <v>653</v>
      </c>
      <c r="Y39" s="1"/>
      <c r="Z39" s="1" t="s">
        <v>654</v>
      </c>
      <c r="AA39" s="1" t="s">
        <v>653</v>
      </c>
      <c r="AB39" s="1"/>
      <c r="AC39" s="1"/>
      <c r="AD39" s="1"/>
      <c r="AE39" s="1"/>
      <c r="AF39" s="1"/>
      <c r="AG39" s="1"/>
      <c r="AH39" s="1" t="s">
        <v>652</v>
      </c>
      <c r="AI39" s="1" t="s">
        <v>653</v>
      </c>
      <c r="AJ39" s="1"/>
      <c r="AK39" s="1" t="s">
        <v>654</v>
      </c>
      <c r="AL39" s="1" t="s">
        <v>653</v>
      </c>
      <c r="AM39" s="1"/>
      <c r="AN39" s="1"/>
      <c r="AO39" s="1"/>
      <c r="AP39" s="1"/>
      <c r="AQ39" s="1"/>
      <c r="AR39" s="1"/>
      <c r="AS39" s="1"/>
      <c r="AY39">
        <v>19</v>
      </c>
    </row>
    <row r="40" spans="1:51" ht="61.9" customHeight="1" x14ac:dyDescent="0.15">
      <c r="B40" t="s">
        <v>191</v>
      </c>
      <c r="C40" t="s">
        <v>192</v>
      </c>
      <c r="D40" t="s">
        <v>193</v>
      </c>
      <c r="E40" t="s">
        <v>553</v>
      </c>
      <c r="F40" t="s">
        <v>554</v>
      </c>
      <c r="G40" t="s">
        <v>555</v>
      </c>
      <c r="I40" t="s">
        <v>605</v>
      </c>
      <c r="J40" t="s">
        <v>558</v>
      </c>
      <c r="K40" t="s">
        <v>606</v>
      </c>
      <c r="L40" t="s">
        <v>534</v>
      </c>
      <c r="S40" s="1"/>
      <c r="T40" s="1"/>
      <c r="V40" s="1"/>
      <c r="W40" s="1"/>
      <c r="X40" t="s">
        <v>655</v>
      </c>
      <c r="Y40" t="s">
        <v>656</v>
      </c>
      <c r="Z40" s="1"/>
      <c r="AA40" t="s">
        <v>657</v>
      </c>
      <c r="AB40" t="s">
        <v>658</v>
      </c>
      <c r="AC40" t="s">
        <v>562</v>
      </c>
      <c r="AD40" s="1" t="s">
        <v>563</v>
      </c>
      <c r="AE40" s="1"/>
      <c r="AF40" s="1"/>
      <c r="AG40" s="1"/>
      <c r="AH40" s="1"/>
      <c r="AI40" t="s">
        <v>655</v>
      </c>
      <c r="AJ40" t="s">
        <v>656</v>
      </c>
      <c r="AK40" s="1"/>
      <c r="AL40" t="s">
        <v>657</v>
      </c>
      <c r="AM40" t="s">
        <v>658</v>
      </c>
      <c r="AN40" t="s">
        <v>562</v>
      </c>
      <c r="AO40" s="1" t="s">
        <v>563</v>
      </c>
      <c r="AP40" s="1"/>
      <c r="AQ40" s="1"/>
      <c r="AR40" s="1"/>
      <c r="AS40" s="1"/>
      <c r="AY40">
        <v>59</v>
      </c>
    </row>
    <row r="41" spans="1:51" ht="11.25" hidden="1" customHeight="1" x14ac:dyDescent="0.15">
      <c r="R41">
        <v>1</v>
      </c>
      <c r="S41" t="s">
        <v>101</v>
      </c>
      <c r="T41" t="s">
        <v>105</v>
      </c>
      <c r="U41" t="str">
        <f ca="1">OFFSET(U41,0,-1)</f>
        <v>2</v>
      </c>
      <c r="V41">
        <f ca="1">OFFSET(V41,0,-1)+1</f>
        <v>3</v>
      </c>
      <c r="AC41">
        <f ca="1">OFFSET(AC41,0,-1)+1</f>
        <v>1</v>
      </c>
      <c r="AD41" s="1">
        <f ca="1">OFFSET(AD41,0,-1)+1</f>
        <v>2</v>
      </c>
      <c r="AE41" s="1"/>
      <c r="AF41">
        <f ca="1">OFFSET(AF41,0,-2)+1</f>
        <v>3</v>
      </c>
      <c r="AG41">
        <f ca="1">OFFSET(AG41,0,-1)+1</f>
        <v>4</v>
      </c>
      <c r="AM41">
        <f ca="1">OFFSET(AM41,0,-1)+1</f>
        <v>1</v>
      </c>
      <c r="AN41">
        <f ca="1">OFFSET(AN41,0,-1)+1</f>
        <v>2</v>
      </c>
      <c r="AO41" s="1">
        <f ca="1">OFFSET(AO41,0,-1)+1</f>
        <v>3</v>
      </c>
      <c r="AP41" s="1"/>
      <c r="AQ41">
        <f ca="1">OFFSET(AQ41,0,-2)+1</f>
        <v>4</v>
      </c>
      <c r="AR41">
        <f ca="1">OFFSET(AR41,0,-1)</f>
        <v>4</v>
      </c>
      <c r="AS41">
        <f ca="1">OFFSET(AS41,0,-1)+1</f>
        <v>5</v>
      </c>
      <c r="AY41">
        <v>0</v>
      </c>
    </row>
    <row r="42" spans="1:51" ht="24" customHeight="1" x14ac:dyDescent="0.15">
      <c r="A42" t="s">
        <v>300</v>
      </c>
      <c r="E42" s="1">
        <v>1</v>
      </c>
      <c r="S42">
        <f>INDEX(PT_DIFFERENTIATION_NUM_NTAR,MATCH(A42,PT_DIFFERENTIATION_NTAR_ID,0))</f>
        <v>0</v>
      </c>
      <c r="T42" t="s">
        <v>179</v>
      </c>
      <c r="V42" s="1"/>
      <c r="W42" s="1"/>
      <c r="X42" s="1"/>
      <c r="Y42" s="1"/>
      <c r="Z42" s="1"/>
      <c r="AA42" s="1"/>
      <c r="AB42" s="1"/>
      <c r="AC42" s="1"/>
      <c r="AD42" s="1"/>
      <c r="AE42" s="1"/>
      <c r="AF42" s="1"/>
      <c r="AG42" s="1" t="str">
        <f>INDEX(PT_DIFFERENTIATION_NTAR,MATCH(A42,PT_DIFFERENTIATION_NTAR_ID,0))</f>
        <v/>
      </c>
      <c r="AH42" s="1"/>
      <c r="AI42" s="1"/>
      <c r="AJ42" s="1"/>
      <c r="AK42" s="1"/>
      <c r="AL42" s="1"/>
      <c r="AM42" s="1"/>
      <c r="AN42" s="1"/>
      <c r="AO42" s="1"/>
      <c r="AP42" s="1"/>
      <c r="AQ42" s="1"/>
      <c r="AR42" s="1"/>
      <c r="AS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42" t="str">
        <f t="shared" ref="AV42:AV54" si="1">IF(T42="","",T42)</f>
        <v>Наименование тарифа</v>
      </c>
      <c r="AY42">
        <v>23</v>
      </c>
    </row>
    <row r="43" spans="1:51" ht="24" customHeight="1" x14ac:dyDescent="0.15">
      <c r="A43" t="s">
        <v>300</v>
      </c>
      <c r="B43" t="s">
        <v>301</v>
      </c>
      <c r="E43" s="1"/>
      <c r="F43" s="1">
        <v>1</v>
      </c>
      <c r="S43" t="str">
        <f>INDEX(PT_DIFFERENTIATION_NUM_TER,MATCH(B43,PT_DIFFERENTIATION_TER_ID,0))</f>
        <v>.</v>
      </c>
      <c r="T43" t="s">
        <v>515</v>
      </c>
      <c r="V43" s="1"/>
      <c r="W43" s="1"/>
      <c r="X43" s="1"/>
      <c r="Y43" s="1"/>
      <c r="Z43" s="1"/>
      <c r="AA43" s="1"/>
      <c r="AB43" s="1"/>
      <c r="AC43" s="1"/>
      <c r="AD43" s="1"/>
      <c r="AE43" s="1"/>
      <c r="AF43" s="1"/>
      <c r="AG43" s="1" t="str">
        <f>INDEX(PT_DIFFERENTIATION_TER,MATCH(B43,PT_DIFFERENTIATION_TER_ID,0))</f>
        <v/>
      </c>
      <c r="AH43" s="1"/>
      <c r="AI43" s="1"/>
      <c r="AJ43" s="1"/>
      <c r="AK43" s="1"/>
      <c r="AL43" s="1"/>
      <c r="AM43" s="1"/>
      <c r="AN43" s="1"/>
      <c r="AO43" s="1"/>
      <c r="AP43" s="1"/>
      <c r="AQ43" s="1"/>
      <c r="AR43" s="1"/>
      <c r="AS43" t="s">
        <v>516</v>
      </c>
      <c r="AV43" t="str">
        <f t="shared" si="1"/>
        <v>Территория действия тарифа</v>
      </c>
      <c r="AY43">
        <v>23</v>
      </c>
    </row>
    <row r="44" spans="1:51" ht="24" customHeight="1" x14ac:dyDescent="0.15">
      <c r="A44" t="s">
        <v>300</v>
      </c>
      <c r="B44" t="s">
        <v>301</v>
      </c>
      <c r="C44" t="s">
        <v>302</v>
      </c>
      <c r="E44" s="1"/>
      <c r="F44" s="1"/>
      <c r="G44" s="1">
        <v>1</v>
      </c>
      <c r="S44" t="str">
        <f>INDEX(PT_DIFFERENTIATION_NUM_CS,MATCH(C44,PT_DIFFERENTIATION_CS_ID,0))</f>
        <v>..</v>
      </c>
      <c r="T44" t="s">
        <v>647</v>
      </c>
      <c r="V44" s="1"/>
      <c r="W44" s="1"/>
      <c r="X44" s="1"/>
      <c r="Y44" s="1"/>
      <c r="Z44" s="1"/>
      <c r="AA44" s="1"/>
      <c r="AB44" s="1"/>
      <c r="AC44" s="1"/>
      <c r="AD44" s="1"/>
      <c r="AE44" s="1"/>
      <c r="AF44" s="1"/>
      <c r="AG44" s="1" t="str">
        <f>INDEX(PT_DIFFERENTIATION_CS,MATCH(C44,PT_DIFFERENTIATION_CS_ID,0))</f>
        <v/>
      </c>
      <c r="AH44" s="1"/>
      <c r="AI44" s="1"/>
      <c r="AJ44" s="1"/>
      <c r="AK44" s="1"/>
      <c r="AL44" s="1"/>
      <c r="AM44" s="1"/>
      <c r="AN44" s="1"/>
      <c r="AO44" s="1"/>
      <c r="AP44" s="1"/>
      <c r="AQ44" s="1"/>
      <c r="AR44" s="1"/>
      <c r="AS44" t="s">
        <v>648</v>
      </c>
      <c r="AV44" t="str">
        <f t="shared" si="1"/>
        <v>Наименование централизованной системы горячего водоснабжения</v>
      </c>
      <c r="AY44">
        <v>23</v>
      </c>
    </row>
    <row r="45" spans="1:51" ht="24" customHeight="1" x14ac:dyDescent="0.15">
      <c r="A45" t="s">
        <v>300</v>
      </c>
      <c r="B45" t="s">
        <v>301</v>
      </c>
      <c r="C45" t="s">
        <v>302</v>
      </c>
      <c r="D45" t="s">
        <v>659</v>
      </c>
      <c r="E45" s="1"/>
      <c r="F45" s="1"/>
      <c r="G45" s="1"/>
      <c r="H45" s="1"/>
      <c r="I45" s="1" t="str">
        <f>S44&amp;".1"</f>
        <v>...1</v>
      </c>
      <c r="P45" s="1">
        <v>1</v>
      </c>
      <c r="S45" t="str">
        <f>$I45</f>
        <v>...1</v>
      </c>
      <c r="T45" t="s">
        <v>598</v>
      </c>
      <c r="V45" s="1"/>
      <c r="W45" s="1"/>
      <c r="X45" s="1"/>
      <c r="Y45" s="1"/>
      <c r="Z45" s="1"/>
      <c r="AA45" s="1"/>
      <c r="AB45" s="1"/>
      <c r="AC45" s="1"/>
      <c r="AD45" s="1"/>
      <c r="AE45" s="1"/>
      <c r="AF45" s="1"/>
      <c r="AG45" s="1"/>
      <c r="AH45" s="1"/>
      <c r="AI45" s="1"/>
      <c r="AJ45" s="1"/>
      <c r="AK45" s="1"/>
      <c r="AL45" s="1"/>
      <c r="AM45" s="1"/>
      <c r="AN45" s="1"/>
      <c r="AO45" s="1"/>
      <c r="AP45" s="1"/>
      <c r="AQ45" s="1"/>
      <c r="AR45" s="1"/>
      <c r="AS45" t="s">
        <v>599</v>
      </c>
      <c r="AV45" t="str">
        <f t="shared" si="1"/>
        <v>Наименование признака дифференциации</v>
      </c>
      <c r="AY45">
        <v>23</v>
      </c>
    </row>
    <row r="46" spans="1:51" ht="24" customHeight="1" x14ac:dyDescent="0.15">
      <c r="A46" t="s">
        <v>300</v>
      </c>
      <c r="B46" t="s">
        <v>301</v>
      </c>
      <c r="C46" t="s">
        <v>302</v>
      </c>
      <c r="D46" t="s">
        <v>659</v>
      </c>
      <c r="E46" s="1"/>
      <c r="F46" s="1"/>
      <c r="G46" s="1"/>
      <c r="H46" s="1"/>
      <c r="I46" s="1"/>
      <c r="J46" s="1" t="str">
        <f>I45&amp;".1"</f>
        <v>...1.1</v>
      </c>
      <c r="L46" t="s">
        <v>524</v>
      </c>
      <c r="P46" s="1"/>
      <c r="Q46" s="1">
        <v>1</v>
      </c>
      <c r="S46" t="str">
        <f>$J46</f>
        <v>...1.1</v>
      </c>
      <c r="T46" t="s">
        <v>525</v>
      </c>
      <c r="V46" s="1"/>
      <c r="W46" s="1"/>
      <c r="X46" s="1"/>
      <c r="Y46" s="1"/>
      <c r="Z46" s="1"/>
      <c r="AA46" s="1"/>
      <c r="AB46" s="1"/>
      <c r="AC46" s="1"/>
      <c r="AD46" s="1"/>
      <c r="AE46" s="1"/>
      <c r="AF46" s="1"/>
      <c r="AG46" s="1"/>
      <c r="AH46" s="1"/>
      <c r="AI46" s="1"/>
      <c r="AJ46" s="1"/>
      <c r="AK46" s="1"/>
      <c r="AL46" s="1"/>
      <c r="AM46" s="1"/>
      <c r="AN46" s="1"/>
      <c r="AO46" s="1"/>
      <c r="AP46" s="1"/>
      <c r="AQ46" s="1"/>
      <c r="AR46" s="1"/>
      <c r="AS46" t="s">
        <v>600</v>
      </c>
      <c r="AV46" t="str">
        <f t="shared" si="1"/>
        <v>Группа потребителей</v>
      </c>
      <c r="AY46">
        <v>23</v>
      </c>
    </row>
    <row r="47" spans="1:51" ht="24" customHeight="1" x14ac:dyDescent="0.15">
      <c r="A47" t="s">
        <v>300</v>
      </c>
      <c r="B47" t="s">
        <v>301</v>
      </c>
      <c r="C47" t="s">
        <v>302</v>
      </c>
      <c r="D47" t="s">
        <v>659</v>
      </c>
      <c r="E47" s="1"/>
      <c r="F47" s="1"/>
      <c r="G47" s="1"/>
      <c r="H47" s="1"/>
      <c r="I47" s="1"/>
      <c r="J47" s="1"/>
      <c r="K47" s="1" t="str">
        <f>J46&amp;".1"</f>
        <v>...1.1.1</v>
      </c>
      <c r="P47" s="1"/>
      <c r="Q47" s="1"/>
      <c r="R47">
        <v>1</v>
      </c>
      <c r="S47" t="str">
        <f>$K47</f>
        <v>...1.1.1</v>
      </c>
      <c r="AC47" s="1"/>
      <c r="AD47" s="1" t="s">
        <v>63</v>
      </c>
      <c r="AE47" s="1"/>
      <c r="AF47" s="1" t="s">
        <v>63</v>
      </c>
      <c r="AN47" s="1"/>
      <c r="AO47" s="1" t="s">
        <v>63</v>
      </c>
      <c r="AP47" s="1"/>
      <c r="AQ47" s="1" t="s">
        <v>19</v>
      </c>
      <c r="AS4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t="e">
        <f ca="1">STRCHECKDATE(V48:AR48)</f>
        <v>#NAME?</v>
      </c>
      <c r="AV47" t="str">
        <f t="shared" si="1"/>
        <v/>
      </c>
      <c r="AY47">
        <v>23</v>
      </c>
    </row>
    <row r="48" spans="1:51" ht="0" hidden="1" customHeight="1" x14ac:dyDescent="0.15">
      <c r="A48" t="s">
        <v>300</v>
      </c>
      <c r="B48" t="s">
        <v>301</v>
      </c>
      <c r="C48" t="s">
        <v>302</v>
      </c>
      <c r="D48" t="s">
        <v>659</v>
      </c>
      <c r="E48" s="1"/>
      <c r="F48" s="1"/>
      <c r="G48" s="1"/>
      <c r="H48" s="1"/>
      <c r="I48" s="1"/>
      <c r="J48" s="1"/>
      <c r="K48" s="1"/>
      <c r="P48" s="1"/>
      <c r="Q48" s="1"/>
      <c r="AC48" s="1"/>
      <c r="AD48" s="1"/>
      <c r="AE48" s="1"/>
      <c r="AF48" s="1"/>
      <c r="AN48" s="1"/>
      <c r="AO48" s="1"/>
      <c r="AP48" s="1"/>
      <c r="AQ48" s="1"/>
      <c r="AS48" s="1"/>
      <c r="AV48" t="str">
        <f t="shared" si="1"/>
        <v/>
      </c>
      <c r="AY48">
        <v>0</v>
      </c>
    </row>
    <row r="49" spans="1:51" ht="21" customHeight="1" x14ac:dyDescent="0.15">
      <c r="A49" t="s">
        <v>300</v>
      </c>
      <c r="B49" t="s">
        <v>301</v>
      </c>
      <c r="C49" t="s">
        <v>302</v>
      </c>
      <c r="D49" t="s">
        <v>659</v>
      </c>
      <c r="E49" s="1"/>
      <c r="F49" s="1"/>
      <c r="G49" s="1"/>
      <c r="H49" s="1"/>
      <c r="I49" s="1"/>
      <c r="J49" s="1"/>
      <c r="P49" s="1"/>
      <c r="Q49" s="1"/>
      <c r="T49" t="s">
        <v>601</v>
      </c>
      <c r="AS49" t="s">
        <v>602</v>
      </c>
      <c r="AV49" t="str">
        <f t="shared" si="1"/>
        <v>Добавить значение признака дифференциации</v>
      </c>
      <c r="AY49">
        <v>20</v>
      </c>
    </row>
    <row r="50" spans="1:51" ht="21.95" customHeight="1" x14ac:dyDescent="0.15">
      <c r="A50" t="s">
        <v>300</v>
      </c>
      <c r="B50" t="s">
        <v>301</v>
      </c>
      <c r="C50" t="s">
        <v>302</v>
      </c>
      <c r="D50" t="s">
        <v>659</v>
      </c>
      <c r="E50" s="1"/>
      <c r="F50" s="1"/>
      <c r="G50" s="1"/>
      <c r="H50" s="1"/>
      <c r="I50" s="1"/>
      <c r="P50" s="1"/>
      <c r="T50" t="s">
        <v>530</v>
      </c>
      <c r="AV50" t="str">
        <f t="shared" si="1"/>
        <v>Добавить группу потребителей</v>
      </c>
      <c r="AY50">
        <v>21</v>
      </c>
    </row>
    <row r="51" spans="1:51" ht="21.95" customHeight="1" x14ac:dyDescent="0.15">
      <c r="A51" t="s">
        <v>300</v>
      </c>
      <c r="B51" t="s">
        <v>301</v>
      </c>
      <c r="C51" t="s">
        <v>302</v>
      </c>
      <c r="D51" t="s">
        <v>659</v>
      </c>
      <c r="E51" s="1"/>
      <c r="F51" s="1"/>
      <c r="G51" s="1"/>
      <c r="H51" s="1"/>
      <c r="T51" t="s">
        <v>603</v>
      </c>
      <c r="AV51" t="str">
        <f t="shared" si="1"/>
        <v>Добавить наименование признака дифференциации</v>
      </c>
      <c r="AY51">
        <v>21</v>
      </c>
    </row>
    <row r="52" spans="1:51" ht="0" hidden="1" customHeight="1" x14ac:dyDescent="0.15">
      <c r="A52" t="s">
        <v>300</v>
      </c>
      <c r="B52" t="s">
        <v>301</v>
      </c>
      <c r="E52" s="1"/>
      <c r="F52" s="1"/>
      <c r="T52" t="s">
        <v>321</v>
      </c>
      <c r="AV52" t="str">
        <f t="shared" si="1"/>
        <v>Добавить централизованную систему для дифференциации</v>
      </c>
      <c r="AY52">
        <v>0</v>
      </c>
    </row>
    <row r="53" spans="1:51" ht="0" hidden="1" customHeight="1" x14ac:dyDescent="0.15">
      <c r="A53" t="s">
        <v>300</v>
      </c>
      <c r="E53" s="1"/>
      <c r="T53" t="s">
        <v>385</v>
      </c>
      <c r="AV53" t="str">
        <f t="shared" si="1"/>
        <v>Добавить территорию для дифференциации</v>
      </c>
      <c r="AY53">
        <v>0</v>
      </c>
    </row>
    <row r="54" spans="1:51" ht="0" hidden="1" customHeight="1" x14ac:dyDescent="0.15">
      <c r="T54" t="s">
        <v>386</v>
      </c>
      <c r="AV54" t="str">
        <f t="shared" si="1"/>
        <v>Добавить наименование тарифа</v>
      </c>
      <c r="AY54">
        <v>0</v>
      </c>
    </row>
    <row r="55" spans="1:51" ht="11.45" customHeight="1" x14ac:dyDescent="0.15">
      <c r="AY55">
        <v>11</v>
      </c>
    </row>
    <row r="56" spans="1:51" ht="14.65" customHeight="1" x14ac:dyDescent="0.15">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Y56">
        <v>14</v>
      </c>
    </row>
    <row r="57" spans="1:51" ht="14.65" customHeight="1" x14ac:dyDescent="0.15">
      <c r="AY57">
        <v>14</v>
      </c>
    </row>
    <row r="58" spans="1:51" ht="14.65" customHeight="1" x14ac:dyDescent="0.15">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Y58">
        <v>14</v>
      </c>
    </row>
    <row r="59" spans="1:51" ht="22.5" hidden="1" customHeight="1" x14ac:dyDescent="0.15">
      <c r="A59" t="s">
        <v>84</v>
      </c>
      <c r="B59">
        <v>0</v>
      </c>
      <c r="C59">
        <v>0</v>
      </c>
      <c r="D59">
        <v>0</v>
      </c>
      <c r="E59">
        <v>0</v>
      </c>
      <c r="F59">
        <v>0</v>
      </c>
      <c r="G59">
        <v>0</v>
      </c>
      <c r="H59">
        <v>0</v>
      </c>
      <c r="I59">
        <v>0</v>
      </c>
      <c r="J59">
        <v>0</v>
      </c>
      <c r="K59">
        <v>0</v>
      </c>
      <c r="L59">
        <v>0</v>
      </c>
      <c r="M59">
        <v>0</v>
      </c>
      <c r="N59">
        <v>0</v>
      </c>
      <c r="O59">
        <v>0</v>
      </c>
      <c r="P59">
        <v>3</v>
      </c>
      <c r="Q59">
        <v>3</v>
      </c>
      <c r="R59">
        <v>3</v>
      </c>
      <c r="S59">
        <v>12</v>
      </c>
      <c r="T59">
        <v>35</v>
      </c>
      <c r="U59">
        <v>0</v>
      </c>
      <c r="V59">
        <v>0</v>
      </c>
      <c r="W59">
        <v>0</v>
      </c>
      <c r="X59">
        <v>0</v>
      </c>
      <c r="Y59">
        <v>0</v>
      </c>
      <c r="Z59">
        <v>0</v>
      </c>
      <c r="AA59">
        <v>0</v>
      </c>
      <c r="AB59">
        <v>0</v>
      </c>
      <c r="AC59">
        <v>0</v>
      </c>
      <c r="AD59">
        <v>0</v>
      </c>
      <c r="AE59">
        <v>0</v>
      </c>
      <c r="AF59">
        <v>0</v>
      </c>
      <c r="AG59">
        <v>19</v>
      </c>
      <c r="AH59">
        <v>19</v>
      </c>
      <c r="AI59">
        <v>19</v>
      </c>
      <c r="AJ59">
        <v>19</v>
      </c>
      <c r="AK59">
        <v>19</v>
      </c>
      <c r="AL59">
        <v>19</v>
      </c>
      <c r="AM59">
        <v>19</v>
      </c>
      <c r="AN59">
        <v>11</v>
      </c>
      <c r="AO59">
        <v>3</v>
      </c>
      <c r="AP59">
        <v>11</v>
      </c>
      <c r="AQ59">
        <v>0</v>
      </c>
      <c r="AR59">
        <v>4</v>
      </c>
      <c r="AS59">
        <v>115</v>
      </c>
      <c r="AT59">
        <v>10</v>
      </c>
      <c r="AU59">
        <v>10</v>
      </c>
      <c r="AV59">
        <v>10</v>
      </c>
      <c r="AW59">
        <v>10</v>
      </c>
      <c r="AX59">
        <v>10</v>
      </c>
      <c r="AY5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 customWidth="1"/>
    <col min="19" max="19" width="12" customWidth="1"/>
    <col min="20" max="20" width="3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03125" hidden="1" customWidth="1"/>
    <col min="33" max="33" width="19.7109375" customWidth="1"/>
    <col min="34" max="39" width="19" customWidth="1"/>
    <col min="40" max="40" width="11" customWidth="1"/>
    <col min="41" max="41" width="3.7109375" customWidth="1"/>
    <col min="42" max="42" width="11" customWidth="1"/>
    <col min="43" max="43" width="8.5703125" hidden="1" customWidth="1"/>
    <col min="44" max="44" width="4" customWidth="1"/>
    <col min="45" max="45" width="115" customWidth="1"/>
    <col min="46" max="50" width="10" customWidth="1"/>
    <col min="51" max="51" width="10.5703125" hidden="1"/>
  </cols>
  <sheetData>
    <row r="1" spans="5:51" ht="22.5" hidden="1" customHeight="1" x14ac:dyDescent="0.15">
      <c r="AY1" t="s">
        <v>14</v>
      </c>
    </row>
    <row r="2" spans="5:51" ht="23.25" hidden="1" customHeight="1" x14ac:dyDescent="0.15">
      <c r="E2" s="1">
        <v>1</v>
      </c>
      <c r="S2" t="e">
        <f>INDEX(PT_DIFFERENTIATION_NUM_NTAR,MATCH(A2,PT_DIFFERENTIATION_NTAR_ID,0))</f>
        <v>#N/A</v>
      </c>
      <c r="T2" t="s">
        <v>179</v>
      </c>
      <c r="V2" s="1"/>
      <c r="W2" s="1"/>
      <c r="X2" s="1"/>
      <c r="Y2" s="1"/>
      <c r="Z2" s="1"/>
      <c r="AA2" s="1"/>
      <c r="AB2" s="1"/>
      <c r="AC2" s="1"/>
      <c r="AD2" s="1"/>
      <c r="AE2" s="1"/>
      <c r="AF2" s="1"/>
      <c r="AG2" s="1" t="e">
        <f>INDEX(PT_DIFFERENTIATION_NTAR,MATCH(A2,PT_DIFFERENTIATION_NTAR_ID,0))</f>
        <v>#N/A</v>
      </c>
      <c r="AH2" s="1"/>
      <c r="AI2" s="1"/>
      <c r="AJ2" s="1"/>
      <c r="AK2" s="1"/>
      <c r="AL2" s="1"/>
      <c r="AM2" s="1"/>
      <c r="AN2" s="1"/>
      <c r="AO2" s="1"/>
      <c r="AP2" s="1"/>
      <c r="AQ2" s="1"/>
      <c r="AR2" s="1"/>
      <c r="AS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2" t="str">
        <f t="shared" ref="AV2:AV13" si="0">IF(T2="","",T2)</f>
        <v>Наименование тарифа</v>
      </c>
      <c r="AY2">
        <v>0</v>
      </c>
    </row>
    <row r="3" spans="5:51" ht="23.25" hidden="1" customHeight="1" x14ac:dyDescent="0.15">
      <c r="E3" s="1"/>
      <c r="F3" s="1">
        <v>1</v>
      </c>
      <c r="S3" t="e">
        <f>INDEX(PT_DIFFERENTIATION_NUM_TER,MATCH(B3,PT_DIFFERENTIATION_TER_ID,0))</f>
        <v>#N/A</v>
      </c>
      <c r="T3" t="s">
        <v>515</v>
      </c>
      <c r="V3" s="1"/>
      <c r="W3" s="1"/>
      <c r="X3" s="1"/>
      <c r="Y3" s="1"/>
      <c r="Z3" s="1"/>
      <c r="AA3" s="1"/>
      <c r="AB3" s="1"/>
      <c r="AC3" s="1"/>
      <c r="AD3" s="1"/>
      <c r="AE3" s="1"/>
      <c r="AF3" s="1"/>
      <c r="AG3" s="1" t="e">
        <f>INDEX(PT_DIFFERENTIATION_TER,MATCH(B3,PT_DIFFERENTIATION_TER_ID,0))</f>
        <v>#N/A</v>
      </c>
      <c r="AH3" s="1"/>
      <c r="AI3" s="1"/>
      <c r="AJ3" s="1"/>
      <c r="AK3" s="1"/>
      <c r="AL3" s="1"/>
      <c r="AM3" s="1"/>
      <c r="AN3" s="1"/>
      <c r="AO3" s="1"/>
      <c r="AP3" s="1"/>
      <c r="AQ3" s="1"/>
      <c r="AR3" s="1"/>
      <c r="AS3" t="s">
        <v>516</v>
      </c>
      <c r="AV3" t="str">
        <f t="shared" si="0"/>
        <v>Территория действия тарифа</v>
      </c>
      <c r="AY3">
        <v>0</v>
      </c>
    </row>
    <row r="4" spans="5:51" ht="23.25" hidden="1" customHeight="1" x14ac:dyDescent="0.15">
      <c r="E4" s="1"/>
      <c r="F4" s="1"/>
      <c r="G4" s="1">
        <v>1</v>
      </c>
      <c r="S4" t="e">
        <f>INDEX(PT_DIFFERENTIATION_NUM_CS,MATCH(C4,PT_DIFFERENTIATION_CS_ID,0))</f>
        <v>#N/A</v>
      </c>
      <c r="T4" t="s">
        <v>647</v>
      </c>
      <c r="V4" s="1"/>
      <c r="W4" s="1"/>
      <c r="X4" s="1"/>
      <c r="Y4" s="1"/>
      <c r="Z4" s="1"/>
      <c r="AA4" s="1"/>
      <c r="AB4" s="1"/>
      <c r="AC4" s="1"/>
      <c r="AD4" s="1"/>
      <c r="AE4" s="1"/>
      <c r="AF4" s="1"/>
      <c r="AG4" s="1" t="e">
        <f>INDEX(PT_DIFFERENTIATION_CS,MATCH(C4,PT_DIFFERENTIATION_CS_ID,0))</f>
        <v>#N/A</v>
      </c>
      <c r="AH4" s="1"/>
      <c r="AI4" s="1"/>
      <c r="AJ4" s="1"/>
      <c r="AK4" s="1"/>
      <c r="AL4" s="1"/>
      <c r="AM4" s="1"/>
      <c r="AN4" s="1"/>
      <c r="AO4" s="1"/>
      <c r="AP4" s="1"/>
      <c r="AQ4" s="1"/>
      <c r="AR4" s="1"/>
      <c r="AS4" t="s">
        <v>648</v>
      </c>
      <c r="AV4" t="str">
        <f t="shared" si="0"/>
        <v>Наименование централизованной системы горячего водоснабжения</v>
      </c>
      <c r="AY4">
        <v>0</v>
      </c>
    </row>
    <row r="5" spans="5:51" ht="23.25" hidden="1" customHeight="1" x14ac:dyDescent="0.15">
      <c r="E5" s="1"/>
      <c r="F5" s="1"/>
      <c r="G5" s="1"/>
      <c r="H5" s="1"/>
      <c r="I5" s="1" t="e">
        <f>S4&amp;".1"</f>
        <v>#N/A</v>
      </c>
      <c r="P5" s="1">
        <v>1</v>
      </c>
      <c r="S5" t="e">
        <f>$I5</f>
        <v>#N/A</v>
      </c>
      <c r="T5" t="s">
        <v>598</v>
      </c>
      <c r="V5" s="1"/>
      <c r="W5" s="1"/>
      <c r="X5" s="1"/>
      <c r="Y5" s="1"/>
      <c r="Z5" s="1"/>
      <c r="AA5" s="1"/>
      <c r="AB5" s="1"/>
      <c r="AC5" s="1"/>
      <c r="AD5" s="1"/>
      <c r="AE5" s="1"/>
      <c r="AF5" s="1"/>
      <c r="AG5" s="1"/>
      <c r="AH5" s="1"/>
      <c r="AI5" s="1"/>
      <c r="AJ5" s="1"/>
      <c r="AK5" s="1"/>
      <c r="AL5" s="1"/>
      <c r="AM5" s="1"/>
      <c r="AN5" s="1"/>
      <c r="AO5" s="1"/>
      <c r="AP5" s="1"/>
      <c r="AQ5" s="1"/>
      <c r="AR5" s="1"/>
      <c r="AS5" t="s">
        <v>599</v>
      </c>
      <c r="AV5" t="str">
        <f t="shared" si="0"/>
        <v>Наименование признака дифференциации</v>
      </c>
      <c r="AY5">
        <v>0</v>
      </c>
    </row>
    <row r="6" spans="5:51" ht="23.25" hidden="1" customHeight="1" x14ac:dyDescent="0.15">
      <c r="E6" s="1"/>
      <c r="F6" s="1"/>
      <c r="G6" s="1"/>
      <c r="H6" s="1"/>
      <c r="I6" s="1"/>
      <c r="J6" s="1" t="e">
        <f>I5&amp;".1"</f>
        <v>#N/A</v>
      </c>
      <c r="L6" t="s">
        <v>524</v>
      </c>
      <c r="P6" s="1"/>
      <c r="Q6" s="1">
        <v>1</v>
      </c>
      <c r="S6" t="e">
        <f>$J6</f>
        <v>#N/A</v>
      </c>
      <c r="T6" t="s">
        <v>525</v>
      </c>
      <c r="V6" s="1"/>
      <c r="W6" s="1"/>
      <c r="X6" s="1"/>
      <c r="Y6" s="1"/>
      <c r="Z6" s="1"/>
      <c r="AA6" s="1"/>
      <c r="AB6" s="1"/>
      <c r="AC6" s="1"/>
      <c r="AD6" s="1"/>
      <c r="AE6" s="1"/>
      <c r="AF6" s="1"/>
      <c r="AG6" s="1"/>
      <c r="AH6" s="1"/>
      <c r="AI6" s="1"/>
      <c r="AJ6" s="1"/>
      <c r="AK6" s="1"/>
      <c r="AL6" s="1"/>
      <c r="AM6" s="1"/>
      <c r="AN6" s="1"/>
      <c r="AO6" s="1"/>
      <c r="AP6" s="1"/>
      <c r="AQ6" s="1"/>
      <c r="AR6" s="1"/>
      <c r="AS6" t="s">
        <v>600</v>
      </c>
      <c r="AV6" t="str">
        <f t="shared" si="0"/>
        <v>Группа потребителей</v>
      </c>
      <c r="AY6">
        <v>0</v>
      </c>
    </row>
    <row r="7" spans="5:51" ht="23.25" hidden="1" customHeight="1" x14ac:dyDescent="0.15">
      <c r="E7" s="1"/>
      <c r="F7" s="1"/>
      <c r="G7" s="1"/>
      <c r="H7" s="1"/>
      <c r="I7" s="1"/>
      <c r="J7" s="1"/>
      <c r="K7" s="1" t="e">
        <f>J6&amp;".1"</f>
        <v>#N/A</v>
      </c>
      <c r="P7" s="1"/>
      <c r="Q7" s="1"/>
      <c r="R7">
        <v>1</v>
      </c>
      <c r="S7" t="e">
        <f>$K7</f>
        <v>#N/A</v>
      </c>
      <c r="AC7" s="1"/>
      <c r="AD7" s="1" t="s">
        <v>63</v>
      </c>
      <c r="AE7" s="1"/>
      <c r="AF7" s="1" t="s">
        <v>63</v>
      </c>
      <c r="AN7" s="1"/>
      <c r="AO7" s="1" t="s">
        <v>63</v>
      </c>
      <c r="AP7" s="1"/>
      <c r="AQ7" s="1" t="s">
        <v>63</v>
      </c>
      <c r="AS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t="e">
        <f ca="1">STRCHECKDATE(V8:AR8)</f>
        <v>#NAME?</v>
      </c>
      <c r="AV7" t="str">
        <f t="shared" si="0"/>
        <v/>
      </c>
      <c r="AY7">
        <v>0</v>
      </c>
    </row>
    <row r="8" spans="5:51" ht="14.25" hidden="1" customHeight="1" x14ac:dyDescent="0.15">
      <c r="E8" s="1"/>
      <c r="F8" s="1"/>
      <c r="G8" s="1"/>
      <c r="H8" s="1"/>
      <c r="I8" s="1"/>
      <c r="J8" s="1"/>
      <c r="K8" s="1"/>
      <c r="P8" s="1"/>
      <c r="Q8" s="1"/>
      <c r="AB8" t="str">
        <f>AC7&amp;"-"&amp;AE7</f>
        <v>-</v>
      </c>
      <c r="AC8" s="1"/>
      <c r="AD8" s="1"/>
      <c r="AE8" s="1"/>
      <c r="AF8" s="1"/>
      <c r="AM8" t="str">
        <f>AN7&amp;"-"&amp;AP7</f>
        <v>-</v>
      </c>
      <c r="AN8" s="1"/>
      <c r="AO8" s="1"/>
      <c r="AP8" s="1"/>
      <c r="AQ8" s="1"/>
      <c r="AS8" s="1"/>
      <c r="AV8" t="str">
        <f t="shared" si="0"/>
        <v/>
      </c>
      <c r="AY8">
        <v>0</v>
      </c>
    </row>
    <row r="9" spans="5:51" ht="21" hidden="1" customHeight="1" x14ac:dyDescent="0.15">
      <c r="E9" s="1"/>
      <c r="F9" s="1"/>
      <c r="G9" s="1"/>
      <c r="H9" s="1"/>
      <c r="I9" s="1"/>
      <c r="J9" s="1"/>
      <c r="P9" s="1"/>
      <c r="Q9" s="1"/>
      <c r="T9" t="s">
        <v>601</v>
      </c>
      <c r="AS9" t="s">
        <v>602</v>
      </c>
      <c r="AV9" t="str">
        <f t="shared" si="0"/>
        <v>Добавить значение признака дифференциации</v>
      </c>
      <c r="AY9">
        <v>0</v>
      </c>
    </row>
    <row r="10" spans="5:51" ht="21" hidden="1" customHeight="1" x14ac:dyDescent="0.15">
      <c r="E10" s="1"/>
      <c r="F10" s="1"/>
      <c r="G10" s="1"/>
      <c r="H10" s="1"/>
      <c r="I10" s="1"/>
      <c r="P10" s="1"/>
      <c r="T10" t="s">
        <v>530</v>
      </c>
      <c r="AV10" t="str">
        <f t="shared" si="0"/>
        <v>Добавить группу потребителей</v>
      </c>
      <c r="AY10">
        <v>0</v>
      </c>
    </row>
    <row r="11" spans="5:51" ht="21" hidden="1" customHeight="1" x14ac:dyDescent="0.15">
      <c r="E11" s="1"/>
      <c r="F11" s="1"/>
      <c r="G11" s="1"/>
      <c r="H11" s="1"/>
      <c r="T11" t="s">
        <v>603</v>
      </c>
      <c r="AV11" t="str">
        <f t="shared" si="0"/>
        <v>Добавить наименование признака дифференциации</v>
      </c>
      <c r="AY11">
        <v>0</v>
      </c>
    </row>
    <row r="12" spans="5:51" ht="14.25" hidden="1" customHeight="1" x14ac:dyDescent="0.15">
      <c r="E12" s="1"/>
      <c r="F12" s="1"/>
      <c r="T12" t="s">
        <v>321</v>
      </c>
      <c r="AV12" t="str">
        <f t="shared" si="0"/>
        <v>Добавить централизованную систему для дифференциации</v>
      </c>
      <c r="AY12">
        <v>0</v>
      </c>
    </row>
    <row r="13" spans="5:51" ht="14.25" hidden="1" customHeight="1" x14ac:dyDescent="0.15">
      <c r="E13" s="1"/>
      <c r="T13" t="s">
        <v>385</v>
      </c>
      <c r="AV13" t="str">
        <f t="shared" si="0"/>
        <v>Добавить территорию для дифференциации</v>
      </c>
      <c r="AY13">
        <v>0</v>
      </c>
    </row>
    <row r="14" spans="5:51" ht="14.25" hidden="1" customHeight="1" x14ac:dyDescent="0.15">
      <c r="AY14">
        <v>0</v>
      </c>
    </row>
    <row r="15" spans="5:51" ht="14.25" hidden="1" customHeight="1" x14ac:dyDescent="0.15">
      <c r="AN15" s="1"/>
      <c r="AO15" s="1" t="s">
        <v>63</v>
      </c>
      <c r="AP15" s="1"/>
      <c r="AQ15" s="1" t="s">
        <v>63</v>
      </c>
      <c r="AY15">
        <v>0</v>
      </c>
    </row>
    <row r="16" spans="5:51" ht="14.25" hidden="1" customHeight="1" x14ac:dyDescent="0.15">
      <c r="AM16" t="str">
        <f>AN15&amp;"-"&amp;AP15</f>
        <v>-</v>
      </c>
      <c r="AN16" s="1"/>
      <c r="AO16" s="1"/>
      <c r="AP16" s="1"/>
      <c r="AQ16" s="1"/>
      <c r="AY16">
        <v>0</v>
      </c>
    </row>
    <row r="17" spans="15:51" ht="14.25" hidden="1" customHeight="1" x14ac:dyDescent="0.15">
      <c r="AY17">
        <v>0</v>
      </c>
    </row>
    <row r="18" spans="15:51" ht="22.5" hidden="1" customHeight="1" x14ac:dyDescent="0.15">
      <c r="O18" t="s">
        <v>533</v>
      </c>
      <c r="AY18">
        <v>0</v>
      </c>
    </row>
    <row r="19" spans="15:51" ht="14.25" hidden="1" customHeight="1" x14ac:dyDescent="0.15">
      <c r="AY19">
        <v>0</v>
      </c>
    </row>
    <row r="20" spans="15:51" ht="12" hidden="1" customHeight="1" x14ac:dyDescent="0.15">
      <c r="O20" t="s">
        <v>534</v>
      </c>
      <c r="T20" t="s">
        <v>535</v>
      </c>
      <c r="AD20" t="s">
        <v>536</v>
      </c>
      <c r="AF20" t="s">
        <v>537</v>
      </c>
      <c r="AG20" t="s">
        <v>535</v>
      </c>
      <c r="AO20" t="s">
        <v>538</v>
      </c>
      <c r="AQ20" t="s">
        <v>537</v>
      </c>
      <c r="AY20">
        <v>0</v>
      </c>
    </row>
    <row r="21" spans="15:51" ht="14.25" hidden="1" customHeight="1" x14ac:dyDescent="0.15">
      <c r="AY21">
        <v>0</v>
      </c>
    </row>
    <row r="22" spans="15:51" ht="14.25" hidden="1" customHeight="1" x14ac:dyDescent="0.15">
      <c r="AY22">
        <v>0</v>
      </c>
    </row>
    <row r="23" spans="15:51" ht="14.65" customHeight="1" x14ac:dyDescent="0.15">
      <c r="AY23">
        <v>14</v>
      </c>
    </row>
    <row r="24" spans="15:51" ht="26.25" customHeight="1" x14ac:dyDescent="0.15">
      <c r="S24" s="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
      <c r="U24" s="1"/>
      <c r="V24" s="1"/>
      <c r="W24" s="1"/>
      <c r="X24" s="1"/>
      <c r="Y24" s="1"/>
      <c r="Z24" s="1"/>
      <c r="AA24" s="1"/>
      <c r="AB24" s="1"/>
      <c r="AC24" s="1"/>
      <c r="AD24" s="1"/>
      <c r="AE24" s="1"/>
      <c r="AF24" s="1"/>
      <c r="AG24" s="1"/>
      <c r="AH24" s="1"/>
      <c r="AI24" s="1"/>
      <c r="AJ24" s="1"/>
      <c r="AK24" s="1"/>
      <c r="AL24" s="1"/>
      <c r="AM24" s="1"/>
      <c r="AN24" s="1"/>
      <c r="AO24" s="1"/>
      <c r="AP24" s="1"/>
      <c r="AY24">
        <v>25</v>
      </c>
    </row>
    <row r="25" spans="15:51" ht="14.65" customHeight="1" x14ac:dyDescent="0.15">
      <c r="S25" s="1" t="str">
        <f>IF(org=0,"Не определено",org)</f>
        <v>КГУП "Примтеплоэнерго"</v>
      </c>
      <c r="T25" s="1"/>
      <c r="U25" s="1"/>
      <c r="V25" s="1"/>
      <c r="W25" s="1"/>
      <c r="X25" s="1"/>
      <c r="Y25" s="1"/>
      <c r="Z25" s="1"/>
      <c r="AA25" s="1"/>
      <c r="AB25" s="1"/>
      <c r="AC25" s="1"/>
      <c r="AD25" s="1"/>
      <c r="AE25" s="1"/>
      <c r="AF25" s="1"/>
      <c r="AG25" s="1"/>
      <c r="AH25" s="1"/>
      <c r="AI25" s="1"/>
      <c r="AJ25" s="1"/>
      <c r="AK25" s="1"/>
      <c r="AL25" s="1"/>
      <c r="AM25" s="1"/>
      <c r="AN25" s="1"/>
      <c r="AO25" s="1"/>
      <c r="AP25" s="1"/>
      <c r="AY25">
        <v>14</v>
      </c>
    </row>
    <row r="26" spans="15:51" ht="14.25" customHeight="1" x14ac:dyDescent="0.15">
      <c r="AY26">
        <v>0</v>
      </c>
    </row>
    <row r="27" spans="15:51" ht="25.5" customHeight="1" x14ac:dyDescent="0.15">
      <c r="S27" s="1" t="s">
        <v>42</v>
      </c>
      <c r="T27" s="1"/>
      <c r="V27" s="1" t="str">
        <f>IF(TITLE_NAME_OR_PR_CHANGE="",IF(TITLE_NAME_OR_PR="","",TITLE_NAME_OR_PR),TITLE_NAME_OR_PR_CHANGE)</f>
        <v>Агентство по тарифам Приморского края</v>
      </c>
      <c r="W27" s="1"/>
      <c r="X27" s="1"/>
      <c r="Y27" s="1"/>
      <c r="Z27" s="1"/>
      <c r="AA27" s="1"/>
      <c r="AB27" s="1"/>
      <c r="AC27" s="1"/>
      <c r="AD27" s="1"/>
      <c r="AE27" s="1"/>
      <c r="AG27" s="1" t="str">
        <f>IF(TITLE_NAME_OR_PR_CHANGE="",IF(TITLE_NAME_OR_PR="","",TITLE_NAME_OR_PR),TITLE_NAME_OR_PR_CHANGE)</f>
        <v>Агентство по тарифам Приморского края</v>
      </c>
      <c r="AH27" s="1"/>
      <c r="AI27" s="1"/>
      <c r="AJ27" s="1"/>
      <c r="AK27" s="1"/>
      <c r="AL27" s="1"/>
      <c r="AM27" s="1"/>
      <c r="AN27" s="1"/>
      <c r="AO27" s="1"/>
      <c r="AP27" s="1"/>
      <c r="AY27">
        <v>0</v>
      </c>
    </row>
    <row r="28" spans="15:51" ht="18.75" customHeight="1" x14ac:dyDescent="0.15">
      <c r="S28" s="1" t="s">
        <v>539</v>
      </c>
      <c r="T28" s="1"/>
      <c r="V28" s="1">
        <f>IF(TITLE_DATE_PR_CHANGE="",IF(TITLE_DATE_PR="","",TITLE_DATE_PR),TITLE_DATE_PR_CHANGE)</f>
        <v>45653.495844907404</v>
      </c>
      <c r="W28" s="1"/>
      <c r="X28" s="1"/>
      <c r="Y28" s="1"/>
      <c r="Z28" s="1"/>
      <c r="AA28" s="1"/>
      <c r="AB28" s="1"/>
      <c r="AC28" s="1"/>
      <c r="AD28" s="1"/>
      <c r="AE28" s="1"/>
      <c r="AG28" s="1">
        <f>IF(TITLE_DATE_PR_CHANGE="",IF(TITLE_DATE_PR="","",TITLE_DATE_PR),TITLE_DATE_PR_CHANGE)</f>
        <v>45653.495844907404</v>
      </c>
      <c r="AH28" s="1"/>
      <c r="AI28" s="1"/>
      <c r="AJ28" s="1"/>
      <c r="AK28" s="1"/>
      <c r="AL28" s="1"/>
      <c r="AM28" s="1"/>
      <c r="AN28" s="1"/>
      <c r="AO28" s="1"/>
      <c r="AP28" s="1"/>
      <c r="AY28">
        <v>0</v>
      </c>
    </row>
    <row r="29" spans="15:51" ht="18.75" customHeight="1" x14ac:dyDescent="0.15">
      <c r="S29" s="1" t="s">
        <v>540</v>
      </c>
      <c r="T29" s="1"/>
      <c r="V29" s="1" t="str">
        <f>IF(TITLE_NUMBER_PR_CHANGE="",IF(TITLE_NUMBER_PR="","",TITLE_NUMBER_PR),TITLE_NUMBER_PR_CHANGE)</f>
        <v>63/2</v>
      </c>
      <c r="W29" s="1"/>
      <c r="X29" s="1"/>
      <c r="Y29" s="1"/>
      <c r="Z29" s="1"/>
      <c r="AA29" s="1"/>
      <c r="AB29" s="1"/>
      <c r="AC29" s="1"/>
      <c r="AD29" s="1"/>
      <c r="AE29" s="1"/>
      <c r="AG29" s="1" t="str">
        <f>IF(TITLE_NUMBER_PR_CHANGE="",IF(TITLE_NUMBER_PR="","",TITLE_NUMBER_PR),TITLE_NUMBER_PR_CHANGE)</f>
        <v>63/2</v>
      </c>
      <c r="AH29" s="1"/>
      <c r="AI29" s="1"/>
      <c r="AJ29" s="1"/>
      <c r="AK29" s="1"/>
      <c r="AL29" s="1"/>
      <c r="AM29" s="1"/>
      <c r="AN29" s="1"/>
      <c r="AO29" s="1"/>
      <c r="AP29" s="1"/>
      <c r="AY29">
        <v>0</v>
      </c>
    </row>
    <row r="30" spans="15:51" ht="18.75" customHeight="1" x14ac:dyDescent="0.15">
      <c r="S30" s="1" t="s">
        <v>44</v>
      </c>
      <c r="T30" s="1"/>
      <c r="V30" s="1" t="str">
        <f>IF(TITLE_IST_PUB_CHANGE="",IF(TITLE_IST_PUB="","",TITLE_IST_PUB),TITLE_IST_PUB_CHANGE)</f>
        <v>http://pravo.gov.ru</v>
      </c>
      <c r="W30" s="1"/>
      <c r="X30" s="1"/>
      <c r="Y30" s="1"/>
      <c r="Z30" s="1"/>
      <c r="AA30" s="1"/>
      <c r="AB30" s="1"/>
      <c r="AC30" s="1"/>
      <c r="AD30" s="1"/>
      <c r="AE30" s="1"/>
      <c r="AG30" s="1" t="str">
        <f>IF(TITLE_IST_PUB_CHANGE="",IF(TITLE_IST_PUB="","",TITLE_IST_PUB),TITLE_IST_PUB_CHANGE)</f>
        <v>http://pravo.gov.ru</v>
      </c>
      <c r="AH30" s="1"/>
      <c r="AI30" s="1"/>
      <c r="AJ30" s="1"/>
      <c r="AK30" s="1"/>
      <c r="AL30" s="1"/>
      <c r="AM30" s="1"/>
      <c r="AN30" s="1"/>
      <c r="AO30" s="1"/>
      <c r="AP30" s="1"/>
      <c r="AY30">
        <v>0</v>
      </c>
    </row>
    <row r="31" spans="15:51" ht="14.25" hidden="1" customHeight="1" x14ac:dyDescent="0.15">
      <c r="AY31">
        <v>0</v>
      </c>
    </row>
    <row r="32" spans="15:51" ht="18.75" hidden="1" customHeight="1" x14ac:dyDescent="0.15">
      <c r="S32" s="1" t="s">
        <v>541</v>
      </c>
      <c r="T32" s="1"/>
      <c r="V32" s="1">
        <f>IF(TITLE_DATE_PR_CHANGE="",IF(TITLE_DATE_PR="","",TITLE_DATE_PR),TITLE_DATE_PR_CHANGE)</f>
        <v>45653.495844907404</v>
      </c>
      <c r="W32" s="1"/>
      <c r="X32" s="1"/>
      <c r="Y32" s="1"/>
      <c r="Z32" s="1"/>
      <c r="AA32" s="1"/>
      <c r="AB32" s="1"/>
      <c r="AC32" s="1"/>
      <c r="AD32" s="1"/>
      <c r="AE32" s="1"/>
      <c r="AG32" s="1">
        <f>IF(TITLE_DATE_PR_CHANGE="",IF(TITLE_DATE_PR="","",TITLE_DATE_PR),TITLE_DATE_PR_CHANGE)</f>
        <v>45653.495844907404</v>
      </c>
      <c r="AH32" s="1"/>
      <c r="AI32" s="1"/>
      <c r="AJ32" s="1"/>
      <c r="AK32" s="1"/>
      <c r="AL32" s="1"/>
      <c r="AM32" s="1"/>
      <c r="AN32" s="1"/>
      <c r="AO32" s="1"/>
      <c r="AP32" s="1"/>
      <c r="AY32">
        <v>0</v>
      </c>
    </row>
    <row r="33" spans="1:51" ht="18.75" hidden="1" customHeight="1" x14ac:dyDescent="0.15">
      <c r="S33" s="1" t="s">
        <v>542</v>
      </c>
      <c r="T33" s="1"/>
      <c r="V33" s="1" t="str">
        <f>IF(TITLE_NUMBER_PR_CHANGE="",IF(TITLE_NUMBER_PR="","",TITLE_NUMBER_PR),TITLE_NUMBER_PR_CHANGE)</f>
        <v>63/2</v>
      </c>
      <c r="W33" s="1"/>
      <c r="X33" s="1"/>
      <c r="Y33" s="1"/>
      <c r="Z33" s="1"/>
      <c r="AA33" s="1"/>
      <c r="AB33" s="1"/>
      <c r="AC33" s="1"/>
      <c r="AD33" s="1"/>
      <c r="AE33" s="1"/>
      <c r="AG33" s="1" t="str">
        <f>IF(TITLE_NUMBER_PR_CHANGE="",IF(TITLE_NUMBER_PR="","",TITLE_NUMBER_PR),TITLE_NUMBER_PR_CHANGE)</f>
        <v>63/2</v>
      </c>
      <c r="AH33" s="1"/>
      <c r="AI33" s="1"/>
      <c r="AJ33" s="1"/>
      <c r="AK33" s="1"/>
      <c r="AL33" s="1"/>
      <c r="AM33" s="1"/>
      <c r="AN33" s="1"/>
      <c r="AO33" s="1"/>
      <c r="AP33" s="1"/>
      <c r="AY33">
        <v>0</v>
      </c>
    </row>
    <row r="34" spans="1:51" ht="1.1499999999999999" customHeight="1" x14ac:dyDescent="0.15">
      <c r="AF34" t="s">
        <v>543</v>
      </c>
      <c r="AQ34" t="s">
        <v>543</v>
      </c>
      <c r="AY34">
        <v>1</v>
      </c>
    </row>
    <row r="35" spans="1:51" ht="14.65" customHeight="1" x14ac:dyDescent="0.15">
      <c r="V35" s="1"/>
      <c r="W35" s="1"/>
      <c r="X35" s="1"/>
      <c r="Y35" s="1"/>
      <c r="Z35" s="1"/>
      <c r="AA35" s="1"/>
      <c r="AB35" s="1"/>
      <c r="AC35" s="1"/>
      <c r="AD35" s="1"/>
      <c r="AE35" s="1"/>
      <c r="AF35" s="1"/>
      <c r="AG35" s="1"/>
      <c r="AH35" s="1"/>
      <c r="AI35" s="1"/>
      <c r="AJ35" s="1"/>
      <c r="AK35" s="1"/>
      <c r="AL35" s="1"/>
      <c r="AM35" s="1"/>
      <c r="AN35" s="1"/>
      <c r="AO35" s="1"/>
      <c r="AP35" s="1"/>
      <c r="AQ35" s="1"/>
      <c r="AY35">
        <v>14</v>
      </c>
    </row>
    <row r="36" spans="1:51" ht="14.65" customHeight="1" x14ac:dyDescent="0.15">
      <c r="S36" s="1" t="s">
        <v>418</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t="s">
        <v>419</v>
      </c>
      <c r="AY36">
        <v>14</v>
      </c>
    </row>
    <row r="37" spans="1:51" ht="14.65" customHeight="1" x14ac:dyDescent="0.15">
      <c r="S37" s="1" t="s">
        <v>90</v>
      </c>
      <c r="T37" s="1" t="s">
        <v>544</v>
      </c>
      <c r="V37" s="1" t="s">
        <v>545</v>
      </c>
      <c r="W37" s="1"/>
      <c r="X37" s="1"/>
      <c r="Y37" s="1"/>
      <c r="Z37" s="1"/>
      <c r="AA37" s="1"/>
      <c r="AB37" s="1"/>
      <c r="AC37" s="1"/>
      <c r="AD37" s="1"/>
      <c r="AE37" s="1"/>
      <c r="AF37" s="1" t="s">
        <v>546</v>
      </c>
      <c r="AG37" s="1" t="s">
        <v>545</v>
      </c>
      <c r="AH37" s="1"/>
      <c r="AI37" s="1"/>
      <c r="AJ37" s="1"/>
      <c r="AK37" s="1"/>
      <c r="AL37" s="1"/>
      <c r="AM37" s="1"/>
      <c r="AN37" s="1"/>
      <c r="AO37" s="1"/>
      <c r="AP37" s="1"/>
      <c r="AQ37" s="1" t="s">
        <v>547</v>
      </c>
      <c r="AR37" s="1" t="s">
        <v>548</v>
      </c>
      <c r="AS37" s="1"/>
      <c r="AY37">
        <v>14</v>
      </c>
    </row>
    <row r="38" spans="1:51" ht="19.899999999999999" customHeight="1" x14ac:dyDescent="0.15">
      <c r="S38" s="1"/>
      <c r="T38" s="1"/>
      <c r="V38" s="1" t="s">
        <v>649</v>
      </c>
      <c r="W38" s="1" t="s">
        <v>650</v>
      </c>
      <c r="X38" s="1"/>
      <c r="Y38" s="1"/>
      <c r="Z38" s="1" t="s">
        <v>651</v>
      </c>
      <c r="AA38" s="1"/>
      <c r="AB38" s="1"/>
      <c r="AC38" s="1" t="s">
        <v>552</v>
      </c>
      <c r="AD38" s="1"/>
      <c r="AE38" s="1"/>
      <c r="AF38" s="1"/>
      <c r="AG38" s="1" t="s">
        <v>649</v>
      </c>
      <c r="AH38" s="1" t="s">
        <v>650</v>
      </c>
      <c r="AI38" s="1"/>
      <c r="AJ38" s="1"/>
      <c r="AK38" s="1" t="s">
        <v>651</v>
      </c>
      <c r="AL38" s="1"/>
      <c r="AM38" s="1"/>
      <c r="AN38" s="1" t="s">
        <v>552</v>
      </c>
      <c r="AO38" s="1"/>
      <c r="AP38" s="1"/>
      <c r="AQ38" s="1"/>
      <c r="AR38" s="1"/>
      <c r="AS38" s="1"/>
      <c r="AY38">
        <v>19</v>
      </c>
    </row>
    <row r="39" spans="1:51" ht="19.899999999999999" customHeight="1" x14ac:dyDescent="0.15">
      <c r="S39" s="1"/>
      <c r="T39" s="1"/>
      <c r="V39" s="1"/>
      <c r="W39" s="1" t="s">
        <v>652</v>
      </c>
      <c r="X39" s="1" t="s">
        <v>653</v>
      </c>
      <c r="Y39" s="1"/>
      <c r="Z39" s="1" t="s">
        <v>654</v>
      </c>
      <c r="AA39" s="1" t="s">
        <v>653</v>
      </c>
      <c r="AB39" s="1"/>
      <c r="AC39" s="1"/>
      <c r="AD39" s="1"/>
      <c r="AE39" s="1"/>
      <c r="AF39" s="1"/>
      <c r="AG39" s="1"/>
      <c r="AH39" s="1" t="s">
        <v>652</v>
      </c>
      <c r="AI39" s="1" t="s">
        <v>653</v>
      </c>
      <c r="AJ39" s="1"/>
      <c r="AK39" s="1" t="s">
        <v>654</v>
      </c>
      <c r="AL39" s="1" t="s">
        <v>653</v>
      </c>
      <c r="AM39" s="1"/>
      <c r="AN39" s="1"/>
      <c r="AO39" s="1"/>
      <c r="AP39" s="1"/>
      <c r="AQ39" s="1"/>
      <c r="AR39" s="1"/>
      <c r="AS39" s="1"/>
      <c r="AY39">
        <v>19</v>
      </c>
    </row>
    <row r="40" spans="1:51" ht="61.9" customHeight="1" x14ac:dyDescent="0.15">
      <c r="B40" t="s">
        <v>191</v>
      </c>
      <c r="C40" t="s">
        <v>192</v>
      </c>
      <c r="D40" t="s">
        <v>193</v>
      </c>
      <c r="E40" t="s">
        <v>553</v>
      </c>
      <c r="F40" t="s">
        <v>554</v>
      </c>
      <c r="G40" t="s">
        <v>555</v>
      </c>
      <c r="I40" t="s">
        <v>605</v>
      </c>
      <c r="J40" t="s">
        <v>558</v>
      </c>
      <c r="K40" t="s">
        <v>606</v>
      </c>
      <c r="L40" t="s">
        <v>534</v>
      </c>
      <c r="S40" s="1"/>
      <c r="T40" s="1"/>
      <c r="V40" s="1"/>
      <c r="W40" s="1"/>
      <c r="X40" t="s">
        <v>655</v>
      </c>
      <c r="Y40" t="s">
        <v>656</v>
      </c>
      <c r="Z40" s="1"/>
      <c r="AA40" t="s">
        <v>657</v>
      </c>
      <c r="AB40" t="s">
        <v>658</v>
      </c>
      <c r="AC40" t="s">
        <v>562</v>
      </c>
      <c r="AD40" s="1" t="s">
        <v>563</v>
      </c>
      <c r="AE40" s="1"/>
      <c r="AF40" s="1"/>
      <c r="AG40" s="1"/>
      <c r="AH40" s="1"/>
      <c r="AI40" t="s">
        <v>655</v>
      </c>
      <c r="AJ40" t="s">
        <v>656</v>
      </c>
      <c r="AK40" s="1"/>
      <c r="AL40" t="s">
        <v>657</v>
      </c>
      <c r="AM40" t="s">
        <v>658</v>
      </c>
      <c r="AN40" t="s">
        <v>562</v>
      </c>
      <c r="AO40" s="1" t="s">
        <v>563</v>
      </c>
      <c r="AP40" s="1"/>
      <c r="AQ40" s="1"/>
      <c r="AR40" s="1"/>
      <c r="AS40" s="1"/>
      <c r="AY40">
        <v>59</v>
      </c>
    </row>
    <row r="41" spans="1:51" ht="11.25" hidden="1" customHeight="1" x14ac:dyDescent="0.15">
      <c r="R41">
        <v>1</v>
      </c>
      <c r="S41" t="s">
        <v>101</v>
      </c>
      <c r="T41" t="s">
        <v>105</v>
      </c>
      <c r="U41" t="str">
        <f ca="1">OFFSET(U41,0,-1)</f>
        <v>2</v>
      </c>
      <c r="V41">
        <f ca="1">OFFSET(V41,0,-1)+1</f>
        <v>3</v>
      </c>
      <c r="AB41">
        <f ca="1">OFFSET(AB41,0,-1)+1</f>
        <v>1</v>
      </c>
      <c r="AC41">
        <f ca="1">OFFSET(AC41,0,-1)+1</f>
        <v>2</v>
      </c>
      <c r="AD41" s="1">
        <f ca="1">OFFSET(AD41,0,-1)+1</f>
        <v>3</v>
      </c>
      <c r="AE41" s="1"/>
      <c r="AF41">
        <f ca="1">OFFSET(AF41,0,-2)+1</f>
        <v>4</v>
      </c>
      <c r="AG41">
        <f ca="1">OFFSET(AG41,0,-1)+1</f>
        <v>5</v>
      </c>
      <c r="AM41">
        <f ca="1">OFFSET(AM41,0,-1)+1</f>
        <v>1</v>
      </c>
      <c r="AN41">
        <f ca="1">OFFSET(AN41,0,-1)+1</f>
        <v>2</v>
      </c>
      <c r="AO41" s="1">
        <f ca="1">OFFSET(AO41,0,-1)+1</f>
        <v>3</v>
      </c>
      <c r="AP41" s="1"/>
      <c r="AQ41">
        <f ca="1">OFFSET(AQ41,0,-2)+1</f>
        <v>4</v>
      </c>
      <c r="AR41">
        <f ca="1">OFFSET(AR41,0,-1)</f>
        <v>4</v>
      </c>
      <c r="AS41">
        <f ca="1">OFFSET(AS41,0,-1)+1</f>
        <v>5</v>
      </c>
      <c r="AY41">
        <v>0</v>
      </c>
    </row>
    <row r="42" spans="1:51" ht="24" customHeight="1" x14ac:dyDescent="0.15">
      <c r="A42" t="s">
        <v>305</v>
      </c>
      <c r="E42" s="1">
        <v>1</v>
      </c>
      <c r="S42">
        <f>INDEX(PT_DIFFERENTIATION_NUM_NTAR,MATCH(A42,PT_DIFFERENTIATION_NTAR_ID,0))</f>
        <v>0</v>
      </c>
      <c r="T42" t="s">
        <v>179</v>
      </c>
      <c r="V42" s="1"/>
      <c r="W42" s="1"/>
      <c r="X42" s="1"/>
      <c r="Y42" s="1"/>
      <c r="Z42" s="1"/>
      <c r="AA42" s="1"/>
      <c r="AB42" s="1"/>
      <c r="AC42" s="1"/>
      <c r="AD42" s="1"/>
      <c r="AE42" s="1"/>
      <c r="AF42" s="1"/>
      <c r="AG42" s="1" t="str">
        <f>INDEX(PT_DIFFERENTIATION_NTAR,MATCH(A42,PT_DIFFERENTIATION_NTAR_ID,0))</f>
        <v/>
      </c>
      <c r="AH42" s="1"/>
      <c r="AI42" s="1"/>
      <c r="AJ42" s="1"/>
      <c r="AK42" s="1"/>
      <c r="AL42" s="1"/>
      <c r="AM42" s="1"/>
      <c r="AN42" s="1"/>
      <c r="AO42" s="1"/>
      <c r="AP42" s="1"/>
      <c r="AQ42" s="1"/>
      <c r="AR42" s="1"/>
      <c r="AS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V42" t="str">
        <f t="shared" ref="AV42:AV54" si="1">IF(T42="","",T42)</f>
        <v>Наименование тарифа</v>
      </c>
      <c r="AY42">
        <v>23</v>
      </c>
    </row>
    <row r="43" spans="1:51" ht="24" customHeight="1" x14ac:dyDescent="0.15">
      <c r="A43" t="s">
        <v>305</v>
      </c>
      <c r="B43" t="s">
        <v>306</v>
      </c>
      <c r="E43" s="1"/>
      <c r="F43" s="1">
        <v>1</v>
      </c>
      <c r="S43" t="str">
        <f>INDEX(PT_DIFFERENTIATION_NUM_TER,MATCH(B43,PT_DIFFERENTIATION_TER_ID,0))</f>
        <v>.</v>
      </c>
      <c r="T43" t="s">
        <v>515</v>
      </c>
      <c r="V43" s="1"/>
      <c r="W43" s="1"/>
      <c r="X43" s="1"/>
      <c r="Y43" s="1"/>
      <c r="Z43" s="1"/>
      <c r="AA43" s="1"/>
      <c r="AB43" s="1"/>
      <c r="AC43" s="1"/>
      <c r="AD43" s="1"/>
      <c r="AE43" s="1"/>
      <c r="AF43" s="1"/>
      <c r="AG43" s="1" t="str">
        <f>INDEX(PT_DIFFERENTIATION_TER,MATCH(B43,PT_DIFFERENTIATION_TER_ID,0))</f>
        <v/>
      </c>
      <c r="AH43" s="1"/>
      <c r="AI43" s="1"/>
      <c r="AJ43" s="1"/>
      <c r="AK43" s="1"/>
      <c r="AL43" s="1"/>
      <c r="AM43" s="1"/>
      <c r="AN43" s="1"/>
      <c r="AO43" s="1"/>
      <c r="AP43" s="1"/>
      <c r="AQ43" s="1"/>
      <c r="AR43" s="1"/>
      <c r="AS43" t="s">
        <v>516</v>
      </c>
      <c r="AV43" t="str">
        <f t="shared" si="1"/>
        <v>Территория действия тарифа</v>
      </c>
      <c r="AY43">
        <v>23</v>
      </c>
    </row>
    <row r="44" spans="1:51" ht="24" customHeight="1" x14ac:dyDescent="0.15">
      <c r="A44" t="s">
        <v>305</v>
      </c>
      <c r="B44" t="s">
        <v>306</v>
      </c>
      <c r="C44" t="s">
        <v>307</v>
      </c>
      <c r="E44" s="1"/>
      <c r="F44" s="1"/>
      <c r="G44" s="1">
        <v>1</v>
      </c>
      <c r="S44" t="str">
        <f>INDEX(PT_DIFFERENTIATION_NUM_CS,MATCH(C44,PT_DIFFERENTIATION_CS_ID,0))</f>
        <v>..</v>
      </c>
      <c r="T44" t="s">
        <v>647</v>
      </c>
      <c r="V44" s="1"/>
      <c r="W44" s="1"/>
      <c r="X44" s="1"/>
      <c r="Y44" s="1"/>
      <c r="Z44" s="1"/>
      <c r="AA44" s="1"/>
      <c r="AB44" s="1"/>
      <c r="AC44" s="1"/>
      <c r="AD44" s="1"/>
      <c r="AE44" s="1"/>
      <c r="AF44" s="1"/>
      <c r="AG44" s="1" t="str">
        <f>INDEX(PT_DIFFERENTIATION_CS,MATCH(C44,PT_DIFFERENTIATION_CS_ID,0))</f>
        <v/>
      </c>
      <c r="AH44" s="1"/>
      <c r="AI44" s="1"/>
      <c r="AJ44" s="1"/>
      <c r="AK44" s="1"/>
      <c r="AL44" s="1"/>
      <c r="AM44" s="1"/>
      <c r="AN44" s="1"/>
      <c r="AO44" s="1"/>
      <c r="AP44" s="1"/>
      <c r="AQ44" s="1"/>
      <c r="AR44" s="1"/>
      <c r="AS44" t="s">
        <v>648</v>
      </c>
      <c r="AV44" t="str">
        <f t="shared" si="1"/>
        <v>Наименование централизованной системы горячего водоснабжения</v>
      </c>
      <c r="AY44">
        <v>23</v>
      </c>
    </row>
    <row r="45" spans="1:51" ht="24" customHeight="1" x14ac:dyDescent="0.15">
      <c r="A45" t="s">
        <v>305</v>
      </c>
      <c r="B45" t="s">
        <v>306</v>
      </c>
      <c r="C45" t="s">
        <v>307</v>
      </c>
      <c r="D45" t="s">
        <v>660</v>
      </c>
      <c r="E45" s="1"/>
      <c r="F45" s="1"/>
      <c r="G45" s="1"/>
      <c r="H45" s="1"/>
      <c r="I45" s="1" t="str">
        <f>S44&amp;".1"</f>
        <v>...1</v>
      </c>
      <c r="P45" s="1">
        <v>1</v>
      </c>
      <c r="S45" t="str">
        <f>$I45</f>
        <v>...1</v>
      </c>
      <c r="T45" t="s">
        <v>598</v>
      </c>
      <c r="V45" s="1"/>
      <c r="W45" s="1"/>
      <c r="X45" s="1"/>
      <c r="Y45" s="1"/>
      <c r="Z45" s="1"/>
      <c r="AA45" s="1"/>
      <c r="AB45" s="1"/>
      <c r="AC45" s="1"/>
      <c r="AD45" s="1"/>
      <c r="AE45" s="1"/>
      <c r="AF45" s="1"/>
      <c r="AG45" s="1"/>
      <c r="AH45" s="1"/>
      <c r="AI45" s="1"/>
      <c r="AJ45" s="1"/>
      <c r="AK45" s="1"/>
      <c r="AL45" s="1"/>
      <c r="AM45" s="1"/>
      <c r="AN45" s="1"/>
      <c r="AO45" s="1"/>
      <c r="AP45" s="1"/>
      <c r="AQ45" s="1"/>
      <c r="AR45" s="1"/>
      <c r="AS45" t="s">
        <v>599</v>
      </c>
      <c r="AV45" t="str">
        <f t="shared" si="1"/>
        <v>Наименование признака дифференциации</v>
      </c>
      <c r="AY45">
        <v>23</v>
      </c>
    </row>
    <row r="46" spans="1:51" ht="24" customHeight="1" x14ac:dyDescent="0.15">
      <c r="A46" t="s">
        <v>305</v>
      </c>
      <c r="B46" t="s">
        <v>306</v>
      </c>
      <c r="C46" t="s">
        <v>307</v>
      </c>
      <c r="D46" t="s">
        <v>660</v>
      </c>
      <c r="E46" s="1"/>
      <c r="F46" s="1"/>
      <c r="G46" s="1"/>
      <c r="H46" s="1"/>
      <c r="I46" s="1"/>
      <c r="J46" s="1" t="str">
        <f>I45&amp;".1"</f>
        <v>...1.1</v>
      </c>
      <c r="L46" t="s">
        <v>524</v>
      </c>
      <c r="P46" s="1"/>
      <c r="Q46" s="1">
        <v>1</v>
      </c>
      <c r="S46" t="str">
        <f>$J46</f>
        <v>...1.1</v>
      </c>
      <c r="T46" t="s">
        <v>525</v>
      </c>
      <c r="V46" s="1"/>
      <c r="W46" s="1"/>
      <c r="X46" s="1"/>
      <c r="Y46" s="1"/>
      <c r="Z46" s="1"/>
      <c r="AA46" s="1"/>
      <c r="AB46" s="1"/>
      <c r="AC46" s="1"/>
      <c r="AD46" s="1"/>
      <c r="AE46" s="1"/>
      <c r="AF46" s="1"/>
      <c r="AG46" s="1"/>
      <c r="AH46" s="1"/>
      <c r="AI46" s="1"/>
      <c r="AJ46" s="1"/>
      <c r="AK46" s="1"/>
      <c r="AL46" s="1"/>
      <c r="AM46" s="1"/>
      <c r="AN46" s="1"/>
      <c r="AO46" s="1"/>
      <c r="AP46" s="1"/>
      <c r="AQ46" s="1"/>
      <c r="AR46" s="1"/>
      <c r="AS46" t="s">
        <v>600</v>
      </c>
      <c r="AV46" t="str">
        <f t="shared" si="1"/>
        <v>Группа потребителей</v>
      </c>
      <c r="AY46">
        <v>23</v>
      </c>
    </row>
    <row r="47" spans="1:51" ht="24" customHeight="1" x14ac:dyDescent="0.15">
      <c r="A47" t="s">
        <v>305</v>
      </c>
      <c r="B47" t="s">
        <v>306</v>
      </c>
      <c r="C47" t="s">
        <v>307</v>
      </c>
      <c r="D47" t="s">
        <v>660</v>
      </c>
      <c r="E47" s="1"/>
      <c r="F47" s="1"/>
      <c r="G47" s="1"/>
      <c r="H47" s="1"/>
      <c r="I47" s="1"/>
      <c r="J47" s="1"/>
      <c r="K47" s="1" t="str">
        <f>J46&amp;".1"</f>
        <v>...1.1.1</v>
      </c>
      <c r="P47" s="1"/>
      <c r="Q47" s="1"/>
      <c r="R47">
        <v>1</v>
      </c>
      <c r="S47" t="str">
        <f>$K47</f>
        <v>...1.1.1</v>
      </c>
      <c r="AC47" s="1"/>
      <c r="AD47" s="1" t="s">
        <v>63</v>
      </c>
      <c r="AE47" s="1"/>
      <c r="AF47" s="1" t="s">
        <v>63</v>
      </c>
      <c r="AN47" s="1"/>
      <c r="AO47" s="1" t="s">
        <v>63</v>
      </c>
      <c r="AP47" s="1"/>
      <c r="AQ47" s="1" t="s">
        <v>19</v>
      </c>
      <c r="AS47" s="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t="e">
        <f ca="1">STRCHECKDATE(V48:AR48)</f>
        <v>#NAME?</v>
      </c>
      <c r="AV47" t="str">
        <f t="shared" si="1"/>
        <v/>
      </c>
      <c r="AY47">
        <v>23</v>
      </c>
    </row>
    <row r="48" spans="1:51" ht="0" hidden="1" customHeight="1" x14ac:dyDescent="0.15">
      <c r="A48" t="s">
        <v>305</v>
      </c>
      <c r="B48" t="s">
        <v>306</v>
      </c>
      <c r="C48" t="s">
        <v>307</v>
      </c>
      <c r="D48" t="s">
        <v>660</v>
      </c>
      <c r="E48" s="1"/>
      <c r="F48" s="1"/>
      <c r="G48" s="1"/>
      <c r="H48" s="1"/>
      <c r="I48" s="1"/>
      <c r="J48" s="1"/>
      <c r="K48" s="1"/>
      <c r="P48" s="1"/>
      <c r="Q48" s="1"/>
      <c r="AB48" t="str">
        <f>AC47&amp;"-"&amp;AE47</f>
        <v>-</v>
      </c>
      <c r="AC48" s="1"/>
      <c r="AD48" s="1"/>
      <c r="AE48" s="1"/>
      <c r="AF48" s="1"/>
      <c r="AM48" t="str">
        <f>AN47&amp;"-"&amp;AP47</f>
        <v>-</v>
      </c>
      <c r="AN48" s="1"/>
      <c r="AO48" s="1"/>
      <c r="AP48" s="1"/>
      <c r="AQ48" s="1"/>
      <c r="AS48" s="1"/>
      <c r="AV48" t="str">
        <f t="shared" si="1"/>
        <v/>
      </c>
      <c r="AY48">
        <v>0</v>
      </c>
    </row>
    <row r="49" spans="1:51" ht="21" customHeight="1" x14ac:dyDescent="0.15">
      <c r="A49" t="s">
        <v>305</v>
      </c>
      <c r="B49" t="s">
        <v>306</v>
      </c>
      <c r="C49" t="s">
        <v>307</v>
      </c>
      <c r="D49" t="s">
        <v>660</v>
      </c>
      <c r="E49" s="1"/>
      <c r="F49" s="1"/>
      <c r="G49" s="1"/>
      <c r="H49" s="1"/>
      <c r="I49" s="1"/>
      <c r="J49" s="1"/>
      <c r="P49" s="1"/>
      <c r="Q49" s="1"/>
      <c r="T49" t="s">
        <v>601</v>
      </c>
      <c r="AS49" t="s">
        <v>602</v>
      </c>
      <c r="AV49" t="str">
        <f t="shared" si="1"/>
        <v>Добавить значение признака дифференциации</v>
      </c>
      <c r="AY49">
        <v>20</v>
      </c>
    </row>
    <row r="50" spans="1:51" ht="21.95" customHeight="1" x14ac:dyDescent="0.15">
      <c r="A50" t="s">
        <v>305</v>
      </c>
      <c r="B50" t="s">
        <v>306</v>
      </c>
      <c r="C50" t="s">
        <v>307</v>
      </c>
      <c r="D50" t="s">
        <v>660</v>
      </c>
      <c r="E50" s="1"/>
      <c r="F50" s="1"/>
      <c r="G50" s="1"/>
      <c r="H50" s="1"/>
      <c r="I50" s="1"/>
      <c r="P50" s="1"/>
      <c r="T50" t="s">
        <v>530</v>
      </c>
      <c r="AV50" t="str">
        <f t="shared" si="1"/>
        <v>Добавить группу потребителей</v>
      </c>
      <c r="AY50">
        <v>21</v>
      </c>
    </row>
    <row r="51" spans="1:51" ht="21.95" customHeight="1" x14ac:dyDescent="0.15">
      <c r="A51" t="s">
        <v>305</v>
      </c>
      <c r="B51" t="s">
        <v>306</v>
      </c>
      <c r="C51" t="s">
        <v>307</v>
      </c>
      <c r="D51" t="s">
        <v>660</v>
      </c>
      <c r="E51" s="1"/>
      <c r="F51" s="1"/>
      <c r="G51" s="1"/>
      <c r="H51" s="1"/>
      <c r="T51" t="s">
        <v>603</v>
      </c>
      <c r="AV51" t="str">
        <f t="shared" si="1"/>
        <v>Добавить наименование признака дифференциации</v>
      </c>
      <c r="AY51">
        <v>21</v>
      </c>
    </row>
    <row r="52" spans="1:51" ht="0" hidden="1" customHeight="1" x14ac:dyDescent="0.15">
      <c r="A52" t="s">
        <v>305</v>
      </c>
      <c r="B52" t="s">
        <v>306</v>
      </c>
      <c r="E52" s="1"/>
      <c r="F52" s="1"/>
      <c r="T52" t="s">
        <v>321</v>
      </c>
      <c r="AV52" t="str">
        <f t="shared" si="1"/>
        <v>Добавить централизованную систему для дифференциации</v>
      </c>
      <c r="AY52">
        <v>0</v>
      </c>
    </row>
    <row r="53" spans="1:51" ht="0" hidden="1" customHeight="1" x14ac:dyDescent="0.15">
      <c r="A53" t="s">
        <v>305</v>
      </c>
      <c r="E53" s="1"/>
      <c r="T53" t="s">
        <v>385</v>
      </c>
      <c r="AV53" t="str">
        <f t="shared" si="1"/>
        <v>Добавить территорию для дифференциации</v>
      </c>
      <c r="AY53">
        <v>0</v>
      </c>
    </row>
    <row r="54" spans="1:51" ht="0" hidden="1" customHeight="1" x14ac:dyDescent="0.15">
      <c r="T54" t="s">
        <v>386</v>
      </c>
      <c r="AV54" t="str">
        <f t="shared" si="1"/>
        <v>Добавить наименование тарифа</v>
      </c>
      <c r="AY54">
        <v>0</v>
      </c>
    </row>
    <row r="55" spans="1:51" ht="11.45" customHeight="1" x14ac:dyDescent="0.15">
      <c r="AY55">
        <v>11</v>
      </c>
    </row>
    <row r="56" spans="1:51" ht="14.65" customHeight="1" x14ac:dyDescent="0.15">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Y56">
        <v>14</v>
      </c>
    </row>
    <row r="57" spans="1:51" ht="14.65" customHeight="1" x14ac:dyDescent="0.15">
      <c r="AY57">
        <v>14</v>
      </c>
    </row>
    <row r="58" spans="1:51" ht="14.65" customHeight="1" x14ac:dyDescent="0.15">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Y58">
        <v>14</v>
      </c>
    </row>
    <row r="59" spans="1:51" ht="22.5" hidden="1" customHeight="1" x14ac:dyDescent="0.15">
      <c r="A59" t="s">
        <v>84</v>
      </c>
      <c r="B59">
        <v>0</v>
      </c>
      <c r="C59">
        <v>0</v>
      </c>
      <c r="D59">
        <v>0</v>
      </c>
      <c r="E59">
        <v>0</v>
      </c>
      <c r="F59">
        <v>0</v>
      </c>
      <c r="G59">
        <v>0</v>
      </c>
      <c r="H59">
        <v>0</v>
      </c>
      <c r="I59">
        <v>0</v>
      </c>
      <c r="J59">
        <v>0</v>
      </c>
      <c r="K59">
        <v>0</v>
      </c>
      <c r="L59">
        <v>0</v>
      </c>
      <c r="M59">
        <v>0</v>
      </c>
      <c r="N59">
        <v>0</v>
      </c>
      <c r="O59">
        <v>0</v>
      </c>
      <c r="P59">
        <v>3</v>
      </c>
      <c r="Q59">
        <v>3</v>
      </c>
      <c r="R59">
        <v>3</v>
      </c>
      <c r="S59">
        <v>12</v>
      </c>
      <c r="T59">
        <v>35</v>
      </c>
      <c r="U59">
        <v>0</v>
      </c>
      <c r="V59">
        <v>0</v>
      </c>
      <c r="W59">
        <v>0</v>
      </c>
      <c r="X59">
        <v>0</v>
      </c>
      <c r="Y59">
        <v>0</v>
      </c>
      <c r="Z59">
        <v>0</v>
      </c>
      <c r="AA59">
        <v>0</v>
      </c>
      <c r="AB59">
        <v>0</v>
      </c>
      <c r="AC59">
        <v>0</v>
      </c>
      <c r="AD59">
        <v>0</v>
      </c>
      <c r="AE59">
        <v>0</v>
      </c>
      <c r="AF59">
        <v>0</v>
      </c>
      <c r="AG59">
        <v>19</v>
      </c>
      <c r="AH59">
        <v>19</v>
      </c>
      <c r="AI59">
        <v>19</v>
      </c>
      <c r="AJ59">
        <v>19</v>
      </c>
      <c r="AK59">
        <v>19</v>
      </c>
      <c r="AL59">
        <v>19</v>
      </c>
      <c r="AM59">
        <v>19</v>
      </c>
      <c r="AN59">
        <v>11</v>
      </c>
      <c r="AO59">
        <v>3</v>
      </c>
      <c r="AP59">
        <v>11</v>
      </c>
      <c r="AQ59">
        <v>0</v>
      </c>
      <c r="AR59">
        <v>4</v>
      </c>
      <c r="AS59">
        <v>115</v>
      </c>
      <c r="AT59">
        <v>10</v>
      </c>
      <c r="AU59">
        <v>10</v>
      </c>
      <c r="AV59">
        <v>10</v>
      </c>
      <c r="AW59">
        <v>10</v>
      </c>
      <c r="AX59">
        <v>10</v>
      </c>
      <c r="AY5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 customWidth="1"/>
    <col min="19" max="19" width="12" customWidth="1"/>
    <col min="20" max="20" width="31"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0" width="3.7109375" customWidth="1"/>
    <col min="31" max="32" width="3" customWidth="1"/>
    <col min="33" max="33" width="24" customWidth="1"/>
    <col min="34" max="34" width="3.7109375" customWidth="1"/>
    <col min="35" max="36" width="3" customWidth="1"/>
    <col min="37" max="37" width="24" customWidth="1"/>
    <col min="38" max="38" width="3.7109375" customWidth="1"/>
    <col min="39" max="40" width="3" customWidth="1"/>
    <col min="41" max="41" width="18" customWidth="1"/>
    <col min="42" max="42" width="3.7109375" customWidth="1"/>
    <col min="43" max="44" width="3" customWidth="1"/>
    <col min="45" max="45" width="18" customWidth="1"/>
    <col min="46" max="49" width="21" customWidth="1"/>
    <col min="50" max="50" width="11" customWidth="1"/>
    <col min="51" max="51" width="3.7109375" customWidth="1"/>
    <col min="52" max="52" width="11" customWidth="1"/>
    <col min="53" max="53" width="8.5703125" hidden="1" customWidth="1"/>
    <col min="54" max="54" width="4" customWidth="1"/>
    <col min="55" max="55" width="115" customWidth="1"/>
    <col min="56" max="60" width="10" customWidth="1"/>
    <col min="61" max="61" width="10.5703125" hidden="1"/>
  </cols>
  <sheetData>
    <row r="1" spans="5:61" ht="22.5" hidden="1" customHeight="1" x14ac:dyDescent="0.15">
      <c r="BI1" t="s">
        <v>14</v>
      </c>
    </row>
    <row r="2" spans="5:61" ht="21" hidden="1" customHeight="1" x14ac:dyDescent="0.15">
      <c r="E2" s="1">
        <v>1</v>
      </c>
      <c r="S2" t="e">
        <f>INDEX(PT_DIFFERENTIATION_NUM_NTAR,MATCH(A2,PT_DIFFERENTIATION_NTAR_ID,0))</f>
        <v>#N/A</v>
      </c>
      <c r="T2" t="s">
        <v>179</v>
      </c>
      <c r="V2" s="1"/>
      <c r="W2" s="1"/>
      <c r="X2" s="1"/>
      <c r="Y2" s="1"/>
      <c r="Z2" s="1"/>
      <c r="AA2" s="1"/>
      <c r="AB2" s="1"/>
      <c r="AC2" s="1"/>
      <c r="AD2" s="1" t="e">
        <f>INDEX(PT_DIFFERENTIATION_NTAR,MATCH(A2,PT_DIFFERENTIATION_NTAR_ID,0))</f>
        <v>#N/A</v>
      </c>
      <c r="AE2" s="1"/>
      <c r="AF2" s="1"/>
      <c r="AG2" s="1"/>
      <c r="AH2" s="1"/>
      <c r="AI2" s="1"/>
      <c r="AJ2" s="1"/>
      <c r="AK2" s="1"/>
      <c r="AL2" s="1"/>
      <c r="AM2" s="1"/>
      <c r="AN2" s="1"/>
      <c r="AO2" s="1"/>
      <c r="AP2" s="1"/>
      <c r="AQ2" s="1"/>
      <c r="AR2" s="1"/>
      <c r="AS2" s="1"/>
      <c r="AT2" s="1"/>
      <c r="AU2" s="1"/>
      <c r="AV2" s="1"/>
      <c r="AW2" s="1"/>
      <c r="AX2" s="1"/>
      <c r="AY2" s="1"/>
      <c r="AZ2" s="1"/>
      <c r="BA2" s="1"/>
      <c r="BB2" s="1"/>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t="str">
        <f t="shared" ref="BF2:BF8" si="0">IF(T2="","",T2)</f>
        <v>Наименование тарифа</v>
      </c>
      <c r="BI2">
        <v>0</v>
      </c>
    </row>
    <row r="3" spans="5:61" ht="21" hidden="1" customHeight="1" x14ac:dyDescent="0.15">
      <c r="E3" s="1"/>
      <c r="F3" s="1">
        <v>1</v>
      </c>
      <c r="S3" t="e">
        <f>INDEX(PT_DIFFERENTIATION_NUM_TER,MATCH(B3,PT_DIFFERENTIATION_TER_ID,0))</f>
        <v>#N/A</v>
      </c>
      <c r="T3" t="s">
        <v>515</v>
      </c>
      <c r="V3" s="1"/>
      <c r="W3" s="1"/>
      <c r="X3" s="1"/>
      <c r="Y3" s="1"/>
      <c r="Z3" s="1"/>
      <c r="AA3" s="1"/>
      <c r="AB3" s="1"/>
      <c r="AC3" s="1"/>
      <c r="AD3" s="1" t="e">
        <f>INDEX(PT_DIFFERENTIATION_TER,MATCH(B3,PT_DIFFERENTIATION_TER_ID,0))</f>
        <v>#N/A</v>
      </c>
      <c r="AE3" s="1"/>
      <c r="AF3" s="1"/>
      <c r="AG3" s="1"/>
      <c r="AH3" s="1"/>
      <c r="AI3" s="1"/>
      <c r="AJ3" s="1"/>
      <c r="AK3" s="1"/>
      <c r="AL3" s="1"/>
      <c r="AM3" s="1"/>
      <c r="AN3" s="1"/>
      <c r="AO3" s="1"/>
      <c r="AP3" s="1"/>
      <c r="AQ3" s="1"/>
      <c r="AR3" s="1"/>
      <c r="AS3" s="1"/>
      <c r="AT3" s="1"/>
      <c r="AU3" s="1"/>
      <c r="AV3" s="1"/>
      <c r="AW3" s="1"/>
      <c r="AX3" s="1"/>
      <c r="AY3" s="1"/>
      <c r="AZ3" s="1"/>
      <c r="BA3" s="1"/>
      <c r="BB3" s="1"/>
      <c r="BC3" t="s">
        <v>516</v>
      </c>
      <c r="BF3" t="str">
        <f t="shared" si="0"/>
        <v>Территория действия тарифа</v>
      </c>
      <c r="BI3">
        <v>0</v>
      </c>
    </row>
    <row r="4" spans="5:61" ht="33.75" hidden="1" customHeight="1" x14ac:dyDescent="0.15">
      <c r="E4" s="1"/>
      <c r="F4" s="1"/>
      <c r="G4" s="1">
        <v>1</v>
      </c>
      <c r="S4" t="e">
        <f>INDEX(PT_DIFFERENTIATION_NUM_CS,MATCH(C4,PT_DIFFERENTIATION_CS_ID,0))</f>
        <v>#N/A</v>
      </c>
      <c r="T4" t="s">
        <v>647</v>
      </c>
      <c r="V4" s="1"/>
      <c r="W4" s="1"/>
      <c r="X4" s="1"/>
      <c r="Y4" s="1"/>
      <c r="Z4" s="1"/>
      <c r="AA4" s="1"/>
      <c r="AB4" s="1"/>
      <c r="AC4" s="1"/>
      <c r="AD4" s="1" t="e">
        <f>INDEX(PT_DIFFERENTIATION_CS,MATCH(C4,PT_DIFFERENTIATION_CS_ID,0))</f>
        <v>#N/A</v>
      </c>
      <c r="AE4" s="1"/>
      <c r="AF4" s="1"/>
      <c r="AG4" s="1"/>
      <c r="AH4" s="1"/>
      <c r="AI4" s="1"/>
      <c r="AJ4" s="1"/>
      <c r="AK4" s="1"/>
      <c r="AL4" s="1"/>
      <c r="AM4" s="1"/>
      <c r="AN4" s="1"/>
      <c r="AO4" s="1"/>
      <c r="AP4" s="1"/>
      <c r="AQ4" s="1"/>
      <c r="AR4" s="1"/>
      <c r="AS4" s="1"/>
      <c r="AT4" s="1"/>
      <c r="AU4" s="1"/>
      <c r="AV4" s="1"/>
      <c r="AW4" s="1"/>
      <c r="AX4" s="1"/>
      <c r="AY4" s="1"/>
      <c r="AZ4" s="1"/>
      <c r="BA4" s="1"/>
      <c r="BB4" s="1"/>
      <c r="BC4" t="s">
        <v>648</v>
      </c>
      <c r="BF4" t="str">
        <f t="shared" si="0"/>
        <v>Наименование централизованной системы горячего водоснабжения</v>
      </c>
      <c r="BI4">
        <v>0</v>
      </c>
    </row>
    <row r="5" spans="5:61" ht="14.25" hidden="1" customHeight="1" x14ac:dyDescent="0.15">
      <c r="E5" s="1"/>
      <c r="F5" s="1"/>
      <c r="G5" s="1"/>
      <c r="H5" s="1">
        <v>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t="s">
        <v>520</v>
      </c>
      <c r="BF5" t="str">
        <f t="shared" si="0"/>
        <v/>
      </c>
      <c r="BI5">
        <v>0</v>
      </c>
    </row>
    <row r="6" spans="5:61" ht="14.25" hidden="1" customHeight="1" x14ac:dyDescent="0.15">
      <c r="E6" s="1"/>
      <c r="F6" s="1"/>
      <c r="G6" s="1"/>
      <c r="H6" s="1"/>
      <c r="I6" s="1" t="str">
        <f>S5&amp;".1"</f>
        <v>.1</v>
      </c>
      <c r="L6" t="s">
        <v>521</v>
      </c>
      <c r="P6" s="1">
        <v>1</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F6" t="str">
        <f t="shared" si="0"/>
        <v/>
      </c>
      <c r="BI6">
        <v>0</v>
      </c>
    </row>
    <row r="7" spans="5:61" ht="14.25" hidden="1" customHeight="1" x14ac:dyDescent="0.15">
      <c r="E7" s="1"/>
      <c r="F7" s="1"/>
      <c r="G7" s="1"/>
      <c r="H7" s="1"/>
      <c r="I7" s="1"/>
      <c r="J7" s="1" t="str">
        <f>S5&amp;".1"</f>
        <v>.1</v>
      </c>
      <c r="P7" s="1"/>
      <c r="Q7" s="1">
        <v>1</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F7" t="str">
        <f t="shared" si="0"/>
        <v/>
      </c>
      <c r="BI7">
        <v>0</v>
      </c>
    </row>
    <row r="8" spans="5:61" ht="11.25" hidden="1" customHeight="1" x14ac:dyDescent="0.15">
      <c r="E8" s="1"/>
      <c r="F8" s="1"/>
      <c r="G8" s="1"/>
      <c r="H8" s="1"/>
      <c r="I8" s="1"/>
      <c r="J8" s="1"/>
      <c r="K8" s="1" t="e">
        <f>S4&amp;".1"</f>
        <v>#N/A</v>
      </c>
      <c r="P8" s="1"/>
      <c r="Q8" s="1"/>
      <c r="R8" s="1">
        <v>1</v>
      </c>
      <c r="S8" s="1" t="e">
        <f>$K8</f>
        <v>#N/A</v>
      </c>
      <c r="T8" s="1"/>
      <c r="AA8" t="s">
        <v>63</v>
      </c>
      <c r="AC8" t="s">
        <v>63</v>
      </c>
      <c r="AD8" s="1" t="s">
        <v>63</v>
      </c>
      <c r="AE8" s="1"/>
      <c r="AF8" s="1">
        <v>1</v>
      </c>
      <c r="AG8" s="1"/>
      <c r="AH8" s="1" t="s">
        <v>63</v>
      </c>
      <c r="AI8" s="1"/>
      <c r="AJ8" s="1">
        <v>1</v>
      </c>
      <c r="AK8" s="1" t="s">
        <v>28</v>
      </c>
      <c r="AL8" s="1" t="s">
        <v>63</v>
      </c>
      <c r="AM8" s="1"/>
      <c r="AN8" s="1">
        <v>1</v>
      </c>
      <c r="AO8" s="1"/>
      <c r="AP8" s="1" t="s">
        <v>63</v>
      </c>
      <c r="AR8">
        <v>1</v>
      </c>
      <c r="AS8" t="s">
        <v>28</v>
      </c>
      <c r="AY8" t="s">
        <v>63</v>
      </c>
      <c r="BA8" t="s">
        <v>63</v>
      </c>
      <c r="BC8" s="1" t="s">
        <v>616</v>
      </c>
      <c r="BF8" t="str">
        <f t="shared" si="0"/>
        <v/>
      </c>
      <c r="BI8">
        <v>0</v>
      </c>
    </row>
    <row r="9" spans="5:61" ht="11.25" hidden="1" customHeight="1" x14ac:dyDescent="0.15">
      <c r="E9" s="1"/>
      <c r="F9" s="1"/>
      <c r="G9" s="1"/>
      <c r="H9" s="1"/>
      <c r="I9" s="1"/>
      <c r="J9" s="1"/>
      <c r="K9" s="1"/>
      <c r="P9" s="1"/>
      <c r="Q9" s="1"/>
      <c r="R9" s="1"/>
      <c r="S9" s="1"/>
      <c r="T9" s="1"/>
      <c r="AD9" s="1"/>
      <c r="AE9" s="1"/>
      <c r="AF9" s="1"/>
      <c r="AG9" s="1"/>
      <c r="AH9" s="1"/>
      <c r="AI9" s="1"/>
      <c r="AJ9" s="1"/>
      <c r="AK9" s="1"/>
      <c r="AL9" s="1"/>
      <c r="AM9" s="1"/>
      <c r="AN9" s="1"/>
      <c r="AO9" s="1"/>
      <c r="AP9" s="1"/>
      <c r="AS9" t="s">
        <v>617</v>
      </c>
      <c r="BC9" s="1"/>
      <c r="BI9">
        <v>0</v>
      </c>
    </row>
    <row r="10" spans="5:61" ht="11.25" hidden="1" customHeight="1" x14ac:dyDescent="0.15">
      <c r="E10" s="1"/>
      <c r="F10" s="1"/>
      <c r="G10" s="1"/>
      <c r="H10" s="1"/>
      <c r="I10" s="1"/>
      <c r="J10" s="1"/>
      <c r="K10" s="1"/>
      <c r="P10" s="1"/>
      <c r="Q10" s="1"/>
      <c r="R10" s="1"/>
      <c r="S10" s="1"/>
      <c r="T10" s="1"/>
      <c r="AD10" s="1"/>
      <c r="AE10" s="1"/>
      <c r="AF10" s="1"/>
      <c r="AG10" s="1"/>
      <c r="AH10" s="1"/>
      <c r="AI10" s="1"/>
      <c r="AJ10" s="1"/>
      <c r="AK10" s="1"/>
      <c r="AL10" s="1"/>
      <c r="AO10" t="s">
        <v>618</v>
      </c>
      <c r="BC10" s="1"/>
      <c r="BI10">
        <v>0</v>
      </c>
    </row>
    <row r="11" spans="5:61" ht="11.25" hidden="1" customHeight="1" x14ac:dyDescent="0.15">
      <c r="E11" s="1"/>
      <c r="F11" s="1"/>
      <c r="G11" s="1"/>
      <c r="H11" s="1"/>
      <c r="I11" s="1"/>
      <c r="J11" s="1"/>
      <c r="K11" s="1"/>
      <c r="P11" s="1"/>
      <c r="Q11" s="1"/>
      <c r="R11" s="1"/>
      <c r="S11" s="1"/>
      <c r="T11" s="1"/>
      <c r="AD11" s="1"/>
      <c r="AE11" s="1"/>
      <c r="AF11" s="1"/>
      <c r="AG11" s="1"/>
      <c r="AH11" s="1"/>
      <c r="AK11" t="s">
        <v>619</v>
      </c>
      <c r="BC11" s="1"/>
      <c r="BI11">
        <v>0</v>
      </c>
    </row>
    <row r="12" spans="5:61" ht="11.25" hidden="1" customHeight="1" x14ac:dyDescent="0.15">
      <c r="E12" s="1"/>
      <c r="F12" s="1"/>
      <c r="G12" s="1"/>
      <c r="H12" s="1"/>
      <c r="I12" s="1"/>
      <c r="J12" s="1"/>
      <c r="K12" s="1"/>
      <c r="P12" s="1"/>
      <c r="Q12" s="1"/>
      <c r="R12" s="1"/>
      <c r="S12" s="1"/>
      <c r="T12" s="1"/>
      <c r="W12" t="str">
        <f>Z8&amp;"-"&amp;AB8</f>
        <v>-</v>
      </c>
      <c r="Y12" t="str">
        <f>AB8&amp;"-"&amp;AD8</f>
        <v>-да</v>
      </c>
      <c r="AD12" s="1"/>
      <c r="AG12" t="s">
        <v>620</v>
      </c>
      <c r="AU12" t="str">
        <f>AX8&amp;"-"&amp;AZ8</f>
        <v>-</v>
      </c>
      <c r="AW12" t="str">
        <f>AZ8&amp;"-"&amp;BB8</f>
        <v>-</v>
      </c>
      <c r="BB12" t="str">
        <f>BE8&amp;"-"&amp;BG8</f>
        <v>-</v>
      </c>
      <c r="BC12" s="1"/>
      <c r="BF12" t="str">
        <f t="shared" ref="BF12:BF18" si="1">IF(T12="","",T12)</f>
        <v/>
      </c>
      <c r="BI12">
        <v>0</v>
      </c>
    </row>
    <row r="13" spans="5:61" ht="11.25" hidden="1" customHeight="1" x14ac:dyDescent="0.15">
      <c r="E13" s="1"/>
      <c r="F13" s="1"/>
      <c r="G13" s="1"/>
      <c r="H13" s="1"/>
      <c r="I13" s="1"/>
      <c r="J13" s="1"/>
      <c r="P13" s="1"/>
      <c r="Q13" s="1"/>
      <c r="T13" t="s">
        <v>583</v>
      </c>
      <c r="BC13" s="1"/>
      <c r="BF13" t="str">
        <f t="shared" si="1"/>
        <v>Добавить строку</v>
      </c>
      <c r="BI13">
        <v>0</v>
      </c>
    </row>
    <row r="14" spans="5:61" ht="14.25" hidden="1" customHeight="1" x14ac:dyDescent="0.15">
      <c r="E14" s="1"/>
      <c r="F14" s="1"/>
      <c r="G14" s="1"/>
      <c r="H14" s="1"/>
      <c r="I14" s="1"/>
      <c r="P14" s="1"/>
      <c r="BF14" t="str">
        <f t="shared" si="1"/>
        <v/>
      </c>
      <c r="BI14">
        <v>0</v>
      </c>
    </row>
    <row r="15" spans="5:61" ht="14.25" hidden="1" customHeight="1" x14ac:dyDescent="0.15">
      <c r="E15" s="1"/>
      <c r="F15" s="1"/>
      <c r="G15" s="1"/>
      <c r="H15" s="1"/>
      <c r="BF15" t="str">
        <f t="shared" si="1"/>
        <v/>
      </c>
      <c r="BI15">
        <v>0</v>
      </c>
    </row>
    <row r="16" spans="5:61" ht="14.25" hidden="1" customHeight="1" x14ac:dyDescent="0.15">
      <c r="E16" s="1"/>
      <c r="F16" s="1"/>
      <c r="G16" s="1"/>
      <c r="BF16" t="str">
        <f t="shared" si="1"/>
        <v/>
      </c>
      <c r="BI16">
        <v>0</v>
      </c>
    </row>
    <row r="17" spans="5:61" ht="14.25" hidden="1" customHeight="1" x14ac:dyDescent="0.15">
      <c r="E17" s="1"/>
      <c r="F17" s="1"/>
      <c r="T17" t="s">
        <v>321</v>
      </c>
      <c r="BF17" t="str">
        <f t="shared" si="1"/>
        <v>Добавить централизованную систему для дифференциации</v>
      </c>
      <c r="BI17">
        <v>0</v>
      </c>
    </row>
    <row r="18" spans="5:61" ht="14.25" hidden="1" customHeight="1" x14ac:dyDescent="0.15">
      <c r="E18" s="1"/>
      <c r="T18" t="s">
        <v>385</v>
      </c>
      <c r="BF18" t="str">
        <f t="shared" si="1"/>
        <v>Добавить территорию для дифференциации</v>
      </c>
      <c r="BI18">
        <v>0</v>
      </c>
    </row>
    <row r="19" spans="5:61" ht="14.25" hidden="1" customHeight="1" x14ac:dyDescent="0.15">
      <c r="BI19">
        <v>0</v>
      </c>
    </row>
    <row r="20" spans="5:61" ht="14.25" hidden="1" customHeight="1" x14ac:dyDescent="0.15">
      <c r="AD20" t="s">
        <v>19</v>
      </c>
      <c r="AF20">
        <v>1</v>
      </c>
      <c r="AH20" t="s">
        <v>19</v>
      </c>
      <c r="AJ20">
        <v>1</v>
      </c>
      <c r="AL20" t="s">
        <v>19</v>
      </c>
      <c r="AN20">
        <v>1</v>
      </c>
      <c r="AP20" t="s">
        <v>19</v>
      </c>
      <c r="AR20">
        <v>1</v>
      </c>
      <c r="AY20" t="s">
        <v>63</v>
      </c>
      <c r="BA20" t="s">
        <v>63</v>
      </c>
      <c r="BI20">
        <v>0</v>
      </c>
    </row>
    <row r="21" spans="5:61" ht="14.25" hidden="1" customHeight="1" x14ac:dyDescent="0.15">
      <c r="BI21">
        <v>0</v>
      </c>
    </row>
    <row r="22" spans="5:61" ht="14.25" hidden="1" customHeight="1" x14ac:dyDescent="0.15">
      <c r="O22" t="s">
        <v>533</v>
      </c>
      <c r="BI22">
        <v>0</v>
      </c>
    </row>
    <row r="23" spans="5:61" ht="14.25" hidden="1" customHeight="1" x14ac:dyDescent="0.15">
      <c r="BI23">
        <v>0</v>
      </c>
    </row>
    <row r="24" spans="5:61" ht="14.25" hidden="1" customHeight="1" x14ac:dyDescent="0.15">
      <c r="O24" t="s">
        <v>534</v>
      </c>
      <c r="AA24" t="s">
        <v>536</v>
      </c>
      <c r="AC24" t="s">
        <v>537</v>
      </c>
      <c r="AD24" t="s">
        <v>584</v>
      </c>
      <c r="AH24" t="s">
        <v>584</v>
      </c>
      <c r="AK24" t="s">
        <v>621</v>
      </c>
      <c r="AL24" t="s">
        <v>584</v>
      </c>
      <c r="AP24" t="s">
        <v>584</v>
      </c>
      <c r="AY24" t="s">
        <v>536</v>
      </c>
      <c r="BA24" t="s">
        <v>537</v>
      </c>
      <c r="BI24">
        <v>0</v>
      </c>
    </row>
    <row r="25" spans="5:61" ht="14.25" hidden="1" customHeight="1" x14ac:dyDescent="0.15">
      <c r="BI25">
        <v>0</v>
      </c>
    </row>
    <row r="26" spans="5:61" ht="14.25" hidden="1" customHeight="1" x14ac:dyDescent="0.15">
      <c r="BI26">
        <v>0</v>
      </c>
    </row>
    <row r="27" spans="5:61" ht="14.65" customHeight="1" x14ac:dyDescent="0.15">
      <c r="BI27">
        <v>14</v>
      </c>
    </row>
    <row r="28" spans="5:61" ht="14.65" customHeight="1" x14ac:dyDescent="0.15">
      <c r="S28" s="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I28">
        <v>14</v>
      </c>
    </row>
    <row r="29" spans="5:61" ht="14.65" customHeight="1" x14ac:dyDescent="0.15">
      <c r="S29" s="1" t="str">
        <f>IF(org=0,"Не определено",org)</f>
        <v>КГУП "Примтеплоэнерго"</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I29">
        <v>14</v>
      </c>
    </row>
    <row r="30" spans="5:61" ht="14.25" customHeight="1" x14ac:dyDescent="0.15">
      <c r="BI30">
        <v>0</v>
      </c>
    </row>
    <row r="31" spans="5:61" ht="25.5" customHeight="1" x14ac:dyDescent="0.15">
      <c r="S31" s="1" t="s">
        <v>42</v>
      </c>
      <c r="T31" s="1"/>
      <c r="V31" s="1" t="str">
        <f>IF(TITLE_NAME_OR_PR_CHANGE="",IF(TITLE_NAME_OR_PR="","",TITLE_NAME_OR_PR),TITLE_NAME_OR_PR_CHANGE)</f>
        <v>Агентство по тарифам Приморского края</v>
      </c>
      <c r="W31" s="1"/>
      <c r="X31" s="1"/>
      <c r="Y31" s="1"/>
      <c r="Z31" s="1"/>
      <c r="AA31" s="1"/>
      <c r="AB31" s="1"/>
      <c r="AD31" s="1" t="str">
        <f>IF(TITLE_NAME_OR_PR_CHANGE="",IF(TITLE_NAME_OR_PR="","",TITLE_NAME_OR_PR),TITLE_NAME_OR_PR_CHANGE)</f>
        <v>Агентство по тарифам Приморского края</v>
      </c>
      <c r="AE31" s="1"/>
      <c r="AF31" s="1"/>
      <c r="AG31" s="1"/>
      <c r="AH31" s="1"/>
      <c r="AI31" s="1"/>
      <c r="AJ31" s="1"/>
      <c r="AK31" s="1"/>
      <c r="AL31" s="1"/>
      <c r="AM31" s="1"/>
      <c r="AN31" s="1"/>
      <c r="AO31" s="1"/>
      <c r="AP31" s="1"/>
      <c r="AQ31" s="1"/>
      <c r="AR31" s="1"/>
      <c r="AS31" s="1"/>
      <c r="AT31" s="1"/>
      <c r="AU31" s="1"/>
      <c r="AV31" s="1"/>
      <c r="AW31" s="1"/>
      <c r="AX31" s="1"/>
      <c r="AY31" s="1"/>
      <c r="AZ31" s="1"/>
      <c r="BI31">
        <v>0</v>
      </c>
    </row>
    <row r="32" spans="5:61" ht="18.75" customHeight="1" x14ac:dyDescent="0.15">
      <c r="S32" s="1" t="s">
        <v>539</v>
      </c>
      <c r="T32" s="1"/>
      <c r="V32" s="1">
        <f>IF(TITLE_DATE_PR_CHANGE="",IF(TITLE_DATE_PR="","",TITLE_DATE_PR),TITLE_DATE_PR_CHANGE)</f>
        <v>45653.495844907404</v>
      </c>
      <c r="W32" s="1"/>
      <c r="X32" s="1"/>
      <c r="Y32" s="1"/>
      <c r="Z32" s="1"/>
      <c r="AA32" s="1"/>
      <c r="AB32" s="1"/>
      <c r="AD32" s="1">
        <f>IF(TITLE_DATE_PR_CHANGE="",IF(TITLE_DATE_PR="","",TITLE_DATE_PR),TITLE_DATE_PR_CHANGE)</f>
        <v>45653.495844907404</v>
      </c>
      <c r="AE32" s="1"/>
      <c r="AF32" s="1"/>
      <c r="AG32" s="1"/>
      <c r="AH32" s="1"/>
      <c r="AI32" s="1"/>
      <c r="AJ32" s="1"/>
      <c r="AK32" s="1"/>
      <c r="AL32" s="1"/>
      <c r="AM32" s="1"/>
      <c r="AN32" s="1"/>
      <c r="AO32" s="1"/>
      <c r="AP32" s="1"/>
      <c r="AQ32" s="1"/>
      <c r="AR32" s="1"/>
      <c r="AS32" s="1"/>
      <c r="AT32" s="1"/>
      <c r="AU32" s="1"/>
      <c r="AV32" s="1"/>
      <c r="AW32" s="1"/>
      <c r="AX32" s="1"/>
      <c r="AY32" s="1"/>
      <c r="AZ32" s="1"/>
      <c r="BI32">
        <v>0</v>
      </c>
    </row>
    <row r="33" spans="1:61" ht="18.75" customHeight="1" x14ac:dyDescent="0.15">
      <c r="S33" s="1" t="s">
        <v>540</v>
      </c>
      <c r="T33" s="1"/>
      <c r="V33" s="1" t="str">
        <f>IF(TITLE_NUMBER_PR_CHANGE="",IF(TITLE_NUMBER_PR="","",TITLE_NUMBER_PR),TITLE_NUMBER_PR_CHANGE)</f>
        <v>63/2</v>
      </c>
      <c r="W33" s="1"/>
      <c r="X33" s="1"/>
      <c r="Y33" s="1"/>
      <c r="Z33" s="1"/>
      <c r="AA33" s="1"/>
      <c r="AB33" s="1"/>
      <c r="AD33" s="1" t="str">
        <f>IF(TITLE_NUMBER_PR_CHANGE="",IF(TITLE_NUMBER_PR="","",TITLE_NUMBER_PR),TITLE_NUMBER_PR_CHANGE)</f>
        <v>63/2</v>
      </c>
      <c r="AE33" s="1"/>
      <c r="AF33" s="1"/>
      <c r="AG33" s="1"/>
      <c r="AH33" s="1"/>
      <c r="AI33" s="1"/>
      <c r="AJ33" s="1"/>
      <c r="AK33" s="1"/>
      <c r="AL33" s="1"/>
      <c r="AM33" s="1"/>
      <c r="AN33" s="1"/>
      <c r="AO33" s="1"/>
      <c r="AP33" s="1"/>
      <c r="AQ33" s="1"/>
      <c r="AR33" s="1"/>
      <c r="AS33" s="1"/>
      <c r="AT33" s="1"/>
      <c r="AU33" s="1"/>
      <c r="AV33" s="1"/>
      <c r="AW33" s="1"/>
      <c r="AX33" s="1"/>
      <c r="AY33" s="1"/>
      <c r="AZ33" s="1"/>
      <c r="BI33">
        <v>0</v>
      </c>
    </row>
    <row r="34" spans="1:61" ht="18.75" customHeight="1" x14ac:dyDescent="0.15">
      <c r="S34" s="1" t="s">
        <v>44</v>
      </c>
      <c r="T34" s="1"/>
      <c r="V34" s="1" t="str">
        <f>IF(TITLE_IST_PUB_CHANGE="",IF(TITLE_IST_PUB="","",TITLE_IST_PUB),TITLE_IST_PUB_CHANGE)</f>
        <v>http://pravo.gov.ru</v>
      </c>
      <c r="W34" s="1"/>
      <c r="X34" s="1"/>
      <c r="Y34" s="1"/>
      <c r="Z34" s="1"/>
      <c r="AA34" s="1"/>
      <c r="AB34" s="1"/>
      <c r="AD34" s="1" t="str">
        <f>IF(TITLE_IST_PUB_CHANGE="",IF(TITLE_IST_PUB="","",TITLE_IST_PUB),TITLE_IST_PUB_CHANGE)</f>
        <v>http://pravo.gov.ru</v>
      </c>
      <c r="AE34" s="1"/>
      <c r="AF34" s="1"/>
      <c r="AG34" s="1"/>
      <c r="AH34" s="1"/>
      <c r="AI34" s="1"/>
      <c r="AJ34" s="1"/>
      <c r="AK34" s="1"/>
      <c r="AL34" s="1"/>
      <c r="AM34" s="1"/>
      <c r="AN34" s="1"/>
      <c r="AO34" s="1"/>
      <c r="AP34" s="1"/>
      <c r="AQ34" s="1"/>
      <c r="AR34" s="1"/>
      <c r="AS34" s="1"/>
      <c r="AT34" s="1"/>
      <c r="AU34" s="1"/>
      <c r="AV34" s="1"/>
      <c r="AW34" s="1"/>
      <c r="AX34" s="1"/>
      <c r="AY34" s="1"/>
      <c r="AZ34" s="1"/>
      <c r="BI34">
        <v>0</v>
      </c>
    </row>
    <row r="35" spans="1:61" ht="14.25" hidden="1" customHeight="1" x14ac:dyDescent="0.15">
      <c r="BI35">
        <v>0</v>
      </c>
    </row>
    <row r="36" spans="1:61" ht="18.75" hidden="1" customHeight="1" x14ac:dyDescent="0.15">
      <c r="S36" s="1" t="s">
        <v>539</v>
      </c>
      <c r="T36" s="1"/>
      <c r="V36" s="1">
        <f>IF(TITLE_DATE_PR_CHANGE="",IF(TITLE_DATE_PR="","",TITLE_DATE_PR),TITLE_DATE_PR_CHANGE)</f>
        <v>45653.495844907404</v>
      </c>
      <c r="W36" s="1"/>
      <c r="X36" s="1"/>
      <c r="Y36" s="1"/>
      <c r="Z36" s="1"/>
      <c r="AA36" s="1"/>
      <c r="AB36" s="1"/>
      <c r="AD36" s="1">
        <f>IF(TITLE_DATE_PR_CHANGE="",IF(TITLE_DATE_PR="","",TITLE_DATE_PR),TITLE_DATE_PR_CHANGE)</f>
        <v>45653.495844907404</v>
      </c>
      <c r="AE36" s="1"/>
      <c r="AF36" s="1"/>
      <c r="AG36" s="1"/>
      <c r="AH36" s="1"/>
      <c r="AI36" s="1"/>
      <c r="AJ36" s="1"/>
      <c r="AK36" s="1"/>
      <c r="AL36" s="1"/>
      <c r="AM36" s="1"/>
      <c r="AN36" s="1"/>
      <c r="AO36" s="1"/>
      <c r="AP36" s="1"/>
      <c r="AQ36" s="1"/>
      <c r="AR36" s="1"/>
      <c r="AS36" s="1"/>
      <c r="AT36" s="1"/>
      <c r="AU36" s="1"/>
      <c r="AV36" s="1"/>
      <c r="AW36" s="1"/>
      <c r="AX36" s="1"/>
      <c r="AY36" s="1"/>
      <c r="AZ36" s="1"/>
      <c r="BI36">
        <v>0</v>
      </c>
    </row>
    <row r="37" spans="1:61" ht="18.75" hidden="1" customHeight="1" x14ac:dyDescent="0.15">
      <c r="S37" s="1" t="s">
        <v>540</v>
      </c>
      <c r="T37" s="1"/>
      <c r="V37" s="1" t="str">
        <f>IF(TITLE_NUMBER_PR_CHANGE="",IF(TITLE_NUMBER_PR="","",TITLE_NUMBER_PR),TITLE_NUMBER_PR_CHANGE)</f>
        <v>63/2</v>
      </c>
      <c r="W37" s="1"/>
      <c r="X37" s="1"/>
      <c r="Y37" s="1"/>
      <c r="Z37" s="1"/>
      <c r="AA37" s="1"/>
      <c r="AB37" s="1"/>
      <c r="AD37" s="1" t="str">
        <f>IF(TITLE_NUMBER_PR_CHANGE="",IF(TITLE_NUMBER_PR="","",TITLE_NUMBER_PR),TITLE_NUMBER_PR_CHANGE)</f>
        <v>63/2</v>
      </c>
      <c r="AE37" s="1"/>
      <c r="AF37" s="1"/>
      <c r="AG37" s="1"/>
      <c r="AH37" s="1"/>
      <c r="AI37" s="1"/>
      <c r="AJ37" s="1"/>
      <c r="AK37" s="1"/>
      <c r="AL37" s="1"/>
      <c r="AM37" s="1"/>
      <c r="AN37" s="1"/>
      <c r="AO37" s="1"/>
      <c r="AP37" s="1"/>
      <c r="AQ37" s="1"/>
      <c r="AR37" s="1"/>
      <c r="AS37" s="1"/>
      <c r="AT37" s="1"/>
      <c r="AU37" s="1"/>
      <c r="AV37" s="1"/>
      <c r="AW37" s="1"/>
      <c r="AX37" s="1"/>
      <c r="AY37" s="1"/>
      <c r="AZ37" s="1"/>
      <c r="BI37">
        <v>0</v>
      </c>
    </row>
    <row r="38" spans="1:61" ht="0" hidden="1" customHeight="1" x14ac:dyDescent="0.15">
      <c r="AC38" t="s">
        <v>543</v>
      </c>
      <c r="BA38" t="s">
        <v>543</v>
      </c>
      <c r="BI38">
        <v>0</v>
      </c>
    </row>
    <row r="39" spans="1:61" ht="14.65" customHeight="1" x14ac:dyDescent="0.1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I39">
        <v>14</v>
      </c>
    </row>
    <row r="40" spans="1:61" ht="14.65" customHeight="1" x14ac:dyDescent="0.15">
      <c r="S40" s="1" t="s">
        <v>418</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t="s">
        <v>419</v>
      </c>
      <c r="BI40">
        <v>14</v>
      </c>
    </row>
    <row r="41" spans="1:61" ht="14.65" customHeight="1" x14ac:dyDescent="0.15">
      <c r="S41" s="1" t="s">
        <v>90</v>
      </c>
      <c r="T41" s="1" t="s">
        <v>622</v>
      </c>
      <c r="V41" s="1" t="s">
        <v>545</v>
      </c>
      <c r="W41" s="1"/>
      <c r="X41" s="1"/>
      <c r="Y41" s="1"/>
      <c r="Z41" s="1"/>
      <c r="AA41" s="1"/>
      <c r="AB41" s="1"/>
      <c r="AC41" s="1" t="s">
        <v>546</v>
      </c>
      <c r="AD41" s="1" t="s">
        <v>623</v>
      </c>
      <c r="AE41" s="1"/>
      <c r="AF41" s="1"/>
      <c r="AG41" s="1"/>
      <c r="AH41" s="1" t="s">
        <v>624</v>
      </c>
      <c r="AI41" s="1"/>
      <c r="AJ41" s="1"/>
      <c r="AK41" s="1"/>
      <c r="AL41" s="1" t="s">
        <v>625</v>
      </c>
      <c r="AM41" s="1"/>
      <c r="AN41" s="1"/>
      <c r="AO41" s="1"/>
      <c r="AP41" s="1" t="s">
        <v>626</v>
      </c>
      <c r="AQ41" s="1"/>
      <c r="AR41" s="1"/>
      <c r="AS41" s="1"/>
      <c r="AT41" s="1" t="s">
        <v>545</v>
      </c>
      <c r="AU41" s="1"/>
      <c r="AV41" s="1"/>
      <c r="AW41" s="1"/>
      <c r="AX41" s="1"/>
      <c r="AY41" s="1"/>
      <c r="AZ41" s="1"/>
      <c r="BA41" s="1" t="s">
        <v>546</v>
      </c>
      <c r="BB41" s="1" t="s">
        <v>548</v>
      </c>
      <c r="BC41" s="1"/>
      <c r="BI41">
        <v>14</v>
      </c>
    </row>
    <row r="42" spans="1:61" ht="35.65" customHeight="1" x14ac:dyDescent="0.15">
      <c r="S42" s="1"/>
      <c r="T42" s="1"/>
      <c r="V42" s="1" t="s">
        <v>627</v>
      </c>
      <c r="W42" s="1"/>
      <c r="X42" s="1" t="s">
        <v>628</v>
      </c>
      <c r="Y42" s="1"/>
      <c r="Z42" s="1" t="s">
        <v>629</v>
      </c>
      <c r="AA42" s="1"/>
      <c r="AB42" s="1"/>
      <c r="AC42" s="1"/>
      <c r="AD42" s="1"/>
      <c r="AE42" s="1"/>
      <c r="AF42" s="1"/>
      <c r="AG42" s="1"/>
      <c r="AH42" s="1"/>
      <c r="AI42" s="1"/>
      <c r="AJ42" s="1"/>
      <c r="AK42" s="1"/>
      <c r="AL42" s="1"/>
      <c r="AM42" s="1"/>
      <c r="AN42" s="1"/>
      <c r="AO42" s="1"/>
      <c r="AP42" s="1"/>
      <c r="AQ42" s="1"/>
      <c r="AR42" s="1"/>
      <c r="AS42" s="1"/>
      <c r="AT42" s="1" t="s">
        <v>627</v>
      </c>
      <c r="AU42" s="1"/>
      <c r="AV42" s="1" t="s">
        <v>628</v>
      </c>
      <c r="AW42" s="1"/>
      <c r="AX42" s="1" t="s">
        <v>629</v>
      </c>
      <c r="AY42" s="1"/>
      <c r="AZ42" s="1"/>
      <c r="BA42" s="1"/>
      <c r="BB42" s="1"/>
      <c r="BC42" s="1"/>
      <c r="BI42">
        <v>34</v>
      </c>
    </row>
    <row r="43" spans="1:61" ht="14.65" customHeight="1" x14ac:dyDescent="0.15">
      <c r="S43" s="1"/>
      <c r="T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I43">
        <v>14</v>
      </c>
    </row>
    <row r="44" spans="1:61" ht="14.65" customHeight="1" x14ac:dyDescent="0.15">
      <c r="B44" t="s">
        <v>191</v>
      </c>
      <c r="C44" t="s">
        <v>192</v>
      </c>
      <c r="D44" t="s">
        <v>193</v>
      </c>
      <c r="E44" t="s">
        <v>553</v>
      </c>
      <c r="F44" t="s">
        <v>554</v>
      </c>
      <c r="G44" t="s">
        <v>555</v>
      </c>
      <c r="H44" t="s">
        <v>556</v>
      </c>
      <c r="I44" t="s">
        <v>557</v>
      </c>
      <c r="J44" t="s">
        <v>558</v>
      </c>
      <c r="K44" t="s">
        <v>559</v>
      </c>
      <c r="L44" t="s">
        <v>534</v>
      </c>
      <c r="S44" s="1"/>
      <c r="T44" s="1"/>
      <c r="V44" t="s">
        <v>593</v>
      </c>
      <c r="W44" t="s">
        <v>594</v>
      </c>
      <c r="X44" t="s">
        <v>593</v>
      </c>
      <c r="Y44" t="s">
        <v>594</v>
      </c>
      <c r="Z44" t="s">
        <v>562</v>
      </c>
      <c r="AA44" s="1" t="s">
        <v>563</v>
      </c>
      <c r="AB44" s="1"/>
      <c r="AC44" s="1"/>
      <c r="AD44" s="1"/>
      <c r="AE44" s="1"/>
      <c r="AF44" s="1"/>
      <c r="AG44" s="1"/>
      <c r="AH44" s="1"/>
      <c r="AI44" s="1"/>
      <c r="AJ44" s="1"/>
      <c r="AK44" s="1"/>
      <c r="AL44" s="1"/>
      <c r="AM44" s="1"/>
      <c r="AN44" s="1"/>
      <c r="AO44" s="1"/>
      <c r="AP44" s="1"/>
      <c r="AQ44" s="1"/>
      <c r="AR44" s="1"/>
      <c r="AS44" s="1"/>
      <c r="AT44" t="s">
        <v>593</v>
      </c>
      <c r="AU44" t="s">
        <v>594</v>
      </c>
      <c r="AV44" t="s">
        <v>593</v>
      </c>
      <c r="AW44" t="s">
        <v>594</v>
      </c>
      <c r="AX44" t="s">
        <v>562</v>
      </c>
      <c r="AY44" s="1" t="s">
        <v>563</v>
      </c>
      <c r="AZ44" s="1"/>
      <c r="BA44" s="1"/>
      <c r="BB44" s="1"/>
      <c r="BC44" s="1"/>
      <c r="BI44">
        <v>14</v>
      </c>
    </row>
    <row r="45" spans="1:61" ht="0" hidden="1" customHeight="1" x14ac:dyDescent="0.15">
      <c r="R45">
        <v>1</v>
      </c>
      <c r="S45" t="s">
        <v>101</v>
      </c>
      <c r="T45" t="s">
        <v>105</v>
      </c>
      <c r="U45" t="str">
        <f ca="1">OFFSET(U45,0,-1)</f>
        <v>2</v>
      </c>
      <c r="V45">
        <f t="shared" ref="V45:AA45" ca="1" si="2">OFFSET(V45,0,-1)+1</f>
        <v>3</v>
      </c>
      <c r="W45">
        <f t="shared" ca="1" si="2"/>
        <v>4</v>
      </c>
      <c r="X45">
        <f t="shared" ca="1" si="2"/>
        <v>5</v>
      </c>
      <c r="Y45">
        <f t="shared" ca="1" si="2"/>
        <v>6</v>
      </c>
      <c r="Z45">
        <f t="shared" ca="1" si="2"/>
        <v>7</v>
      </c>
      <c r="AA45" s="1">
        <f t="shared" ca="1" si="2"/>
        <v>8</v>
      </c>
      <c r="AB45" s="1"/>
      <c r="AC45">
        <f ca="1">OFFSET(AC45,0,-2)+1</f>
        <v>9</v>
      </c>
      <c r="AD45">
        <f ca="1">OFFSET(AD45,0,-1)+1</f>
        <v>10</v>
      </c>
      <c r="AW45">
        <f ca="1">OFFSET(AW45,0,-1)+1</f>
        <v>1</v>
      </c>
      <c r="AX45">
        <f ca="1">OFFSET(AX45,0,-1)+1</f>
        <v>2</v>
      </c>
      <c r="AY45" s="1">
        <f ca="1">OFFSET(AY45,0,-1)+1</f>
        <v>3</v>
      </c>
      <c r="AZ45" s="1"/>
      <c r="BA45">
        <f ca="1">OFFSET(BA45,0,-2)+1</f>
        <v>4</v>
      </c>
      <c r="BB45">
        <f ca="1">OFFSET(BB45,0,-1)</f>
        <v>4</v>
      </c>
      <c r="BC45">
        <f ca="1">OFFSET(BC45,0,-1)+1</f>
        <v>5</v>
      </c>
      <c r="BI45">
        <v>0</v>
      </c>
    </row>
    <row r="46" spans="1:61" ht="21.95" customHeight="1" x14ac:dyDescent="0.15">
      <c r="A46" t="s">
        <v>310</v>
      </c>
      <c r="E46" s="1">
        <v>1</v>
      </c>
      <c r="S46">
        <f>INDEX(PT_DIFFERENTIATION_NUM_NTAR,MATCH(A46,PT_DIFFERENTIATION_NTAR_ID,0))</f>
        <v>0</v>
      </c>
      <c r="T46" t="s">
        <v>179</v>
      </c>
      <c r="V46" s="1"/>
      <c r="W46" s="1"/>
      <c r="X46" s="1"/>
      <c r="Y46" s="1"/>
      <c r="Z46" s="1"/>
      <c r="AA46" s="1"/>
      <c r="AB46" s="1"/>
      <c r="AC46" s="1"/>
      <c r="AD46" s="1" t="str">
        <f>INDEX(PT_DIFFERENTIATION_NTAR,MATCH(A46,PT_DIFFERENTIATION_NTAR_ID,0))</f>
        <v/>
      </c>
      <c r="AE46" s="1"/>
      <c r="AF46" s="1"/>
      <c r="AG46" s="1"/>
      <c r="AH46" s="1"/>
      <c r="AI46" s="1"/>
      <c r="AJ46" s="1"/>
      <c r="AK46" s="1"/>
      <c r="AL46" s="1"/>
      <c r="AM46" s="1"/>
      <c r="AN46" s="1"/>
      <c r="AO46" s="1"/>
      <c r="AP46" s="1"/>
      <c r="AQ46" s="1"/>
      <c r="AR46" s="1"/>
      <c r="AS46" s="1"/>
      <c r="AT46" s="1"/>
      <c r="AU46" s="1"/>
      <c r="AV46" s="1"/>
      <c r="AW46" s="1"/>
      <c r="AX46" s="1"/>
      <c r="AY46" s="1"/>
      <c r="AZ46" s="1"/>
      <c r="BA46" s="1"/>
      <c r="BB46" s="1"/>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6" t="str">
        <f t="shared" ref="BF46:BF52" si="3">IF(T46="","",T46)</f>
        <v>Наименование тарифа</v>
      </c>
      <c r="BI46">
        <v>21</v>
      </c>
    </row>
    <row r="47" spans="1:61" ht="21.95" customHeight="1" x14ac:dyDescent="0.15">
      <c r="A47" t="s">
        <v>310</v>
      </c>
      <c r="B47" t="s">
        <v>311</v>
      </c>
      <c r="E47" s="1"/>
      <c r="F47" s="1">
        <v>1</v>
      </c>
      <c r="S47" t="str">
        <f>INDEX(PT_DIFFERENTIATION_NUM_TER,MATCH(B47,PT_DIFFERENTIATION_TER_ID,0))</f>
        <v>.</v>
      </c>
      <c r="T47" t="s">
        <v>515</v>
      </c>
      <c r="V47" s="1"/>
      <c r="W47" s="1"/>
      <c r="X47" s="1"/>
      <c r="Y47" s="1"/>
      <c r="Z47" s="1"/>
      <c r="AA47" s="1"/>
      <c r="AB47" s="1"/>
      <c r="AC47" s="1"/>
      <c r="AD47" s="1" t="str">
        <f>INDEX(PT_DIFFERENTIATION_TER,MATCH(B47,PT_DIFFERENTIATION_TER_ID,0))</f>
        <v/>
      </c>
      <c r="AE47" s="1"/>
      <c r="AF47" s="1"/>
      <c r="AG47" s="1"/>
      <c r="AH47" s="1"/>
      <c r="AI47" s="1"/>
      <c r="AJ47" s="1"/>
      <c r="AK47" s="1"/>
      <c r="AL47" s="1"/>
      <c r="AM47" s="1"/>
      <c r="AN47" s="1"/>
      <c r="AO47" s="1"/>
      <c r="AP47" s="1"/>
      <c r="AQ47" s="1"/>
      <c r="AR47" s="1"/>
      <c r="AS47" s="1"/>
      <c r="AT47" s="1"/>
      <c r="AU47" s="1"/>
      <c r="AV47" s="1"/>
      <c r="AW47" s="1"/>
      <c r="AX47" s="1"/>
      <c r="AY47" s="1"/>
      <c r="AZ47" s="1"/>
      <c r="BA47" s="1"/>
      <c r="BB47" s="1"/>
      <c r="BC47" t="s">
        <v>516</v>
      </c>
      <c r="BF47" t="str">
        <f t="shared" si="3"/>
        <v>Территория действия тарифа</v>
      </c>
      <c r="BI47">
        <v>21</v>
      </c>
    </row>
    <row r="48" spans="1:61" ht="35.65" customHeight="1" x14ac:dyDescent="0.15">
      <c r="A48" t="s">
        <v>310</v>
      </c>
      <c r="B48" t="s">
        <v>311</v>
      </c>
      <c r="C48" t="s">
        <v>312</v>
      </c>
      <c r="E48" s="1"/>
      <c r="F48" s="1"/>
      <c r="G48" s="1">
        <v>1</v>
      </c>
      <c r="S48" t="str">
        <f>INDEX(PT_DIFFERENTIATION_NUM_CS,MATCH(C48,PT_DIFFERENTIATION_CS_ID,0))</f>
        <v>..</v>
      </c>
      <c r="T48" t="s">
        <v>647</v>
      </c>
      <c r="V48" s="1"/>
      <c r="W48" s="1"/>
      <c r="X48" s="1"/>
      <c r="Y48" s="1"/>
      <c r="Z48" s="1"/>
      <c r="AA48" s="1"/>
      <c r="AB48" s="1"/>
      <c r="AC48" s="1"/>
      <c r="AD48" s="1" t="str">
        <f>INDEX(PT_DIFFERENTIATION_CS,MATCH(C48,PT_DIFFERENTIATION_CS_ID,0))</f>
        <v/>
      </c>
      <c r="AE48" s="1"/>
      <c r="AF48" s="1"/>
      <c r="AG48" s="1"/>
      <c r="AH48" s="1"/>
      <c r="AI48" s="1"/>
      <c r="AJ48" s="1"/>
      <c r="AK48" s="1"/>
      <c r="AL48" s="1"/>
      <c r="AM48" s="1"/>
      <c r="AN48" s="1"/>
      <c r="AO48" s="1"/>
      <c r="AP48" s="1"/>
      <c r="AQ48" s="1"/>
      <c r="AR48" s="1"/>
      <c r="AS48" s="1"/>
      <c r="AT48" s="1"/>
      <c r="AU48" s="1"/>
      <c r="AV48" s="1"/>
      <c r="AW48" s="1"/>
      <c r="AX48" s="1"/>
      <c r="AY48" s="1"/>
      <c r="AZ48" s="1"/>
      <c r="BA48" s="1"/>
      <c r="BB48" s="1"/>
      <c r="BC48" t="s">
        <v>648</v>
      </c>
      <c r="BF48" t="str">
        <f t="shared" si="3"/>
        <v>Наименование централизованной системы горячего водоснабжения</v>
      </c>
      <c r="BI48">
        <v>34</v>
      </c>
    </row>
    <row r="49" spans="1:61" ht="0" hidden="1" customHeight="1" x14ac:dyDescent="0.15">
      <c r="A49" t="s">
        <v>310</v>
      </c>
      <c r="B49" t="s">
        <v>311</v>
      </c>
      <c r="C49" t="s">
        <v>312</v>
      </c>
      <c r="D49" t="s">
        <v>661</v>
      </c>
      <c r="E49" s="1"/>
      <c r="F49" s="1"/>
      <c r="G49" s="1"/>
      <c r="H49" s="1">
        <v>1</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t="s">
        <v>520</v>
      </c>
      <c r="BF49" t="str">
        <f t="shared" si="3"/>
        <v/>
      </c>
      <c r="BI49">
        <v>0</v>
      </c>
    </row>
    <row r="50" spans="1:61" ht="0" hidden="1" customHeight="1" x14ac:dyDescent="0.15">
      <c r="A50" t="s">
        <v>310</v>
      </c>
      <c r="B50" t="s">
        <v>311</v>
      </c>
      <c r="C50" t="s">
        <v>312</v>
      </c>
      <c r="D50" t="s">
        <v>661</v>
      </c>
      <c r="E50" s="1"/>
      <c r="F50" s="1"/>
      <c r="G50" s="1"/>
      <c r="H50" s="1"/>
      <c r="I50" s="1" t="str">
        <f>S49&amp;".1"</f>
        <v>.1</v>
      </c>
      <c r="L50" t="s">
        <v>521</v>
      </c>
      <c r="P50" s="1">
        <v>1</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F50" t="str">
        <f t="shared" si="3"/>
        <v/>
      </c>
      <c r="BI50">
        <v>0</v>
      </c>
    </row>
    <row r="51" spans="1:61" ht="0" hidden="1" customHeight="1" x14ac:dyDescent="0.15">
      <c r="A51" t="s">
        <v>310</v>
      </c>
      <c r="B51" t="s">
        <v>311</v>
      </c>
      <c r="C51" t="s">
        <v>312</v>
      </c>
      <c r="D51" t="s">
        <v>661</v>
      </c>
      <c r="E51" s="1"/>
      <c r="F51" s="1"/>
      <c r="G51" s="1"/>
      <c r="H51" s="1"/>
      <c r="I51" s="1"/>
      <c r="J51" s="1" t="str">
        <f>S49&amp;".1"</f>
        <v>.1</v>
      </c>
      <c r="P51" s="1"/>
      <c r="Q51" s="1">
        <v>1</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F51" t="str">
        <f t="shared" si="3"/>
        <v/>
      </c>
      <c r="BI51">
        <v>0</v>
      </c>
    </row>
    <row r="52" spans="1:61" ht="11.45" customHeight="1" x14ac:dyDescent="0.15">
      <c r="A52" t="s">
        <v>310</v>
      </c>
      <c r="B52" t="s">
        <v>311</v>
      </c>
      <c r="C52" t="s">
        <v>312</v>
      </c>
      <c r="D52" t="s">
        <v>661</v>
      </c>
      <c r="E52" s="1"/>
      <c r="F52" s="1"/>
      <c r="G52" s="1"/>
      <c r="H52" s="1"/>
      <c r="I52" s="1"/>
      <c r="J52" s="1"/>
      <c r="K52" s="1" t="str">
        <f>S48&amp;".1"</f>
        <v>...1</v>
      </c>
      <c r="P52" s="1"/>
      <c r="Q52" s="1"/>
      <c r="R52">
        <v>1</v>
      </c>
      <c r="S52" s="1" t="str">
        <f>$K52</f>
        <v>...1</v>
      </c>
      <c r="T52" s="1"/>
      <c r="AA52" t="s">
        <v>63</v>
      </c>
      <c r="AC52" t="s">
        <v>63</v>
      </c>
      <c r="AD52" s="1" t="s">
        <v>63</v>
      </c>
      <c r="AE52" s="1"/>
      <c r="AF52" s="1">
        <v>1</v>
      </c>
      <c r="AG52" s="1"/>
      <c r="AH52" s="1" t="s">
        <v>63</v>
      </c>
      <c r="AI52" s="1"/>
      <c r="AJ52" s="1">
        <v>1</v>
      </c>
      <c r="AK52" s="1" t="s">
        <v>28</v>
      </c>
      <c r="AL52" s="1" t="s">
        <v>63</v>
      </c>
      <c r="AM52" s="1"/>
      <c r="AN52" s="1">
        <v>1</v>
      </c>
      <c r="AO52" s="1"/>
      <c r="AP52" s="1" t="s">
        <v>63</v>
      </c>
      <c r="AR52">
        <v>1</v>
      </c>
      <c r="AS52" t="s">
        <v>28</v>
      </c>
      <c r="AY52" t="s">
        <v>63</v>
      </c>
      <c r="BA52" t="s">
        <v>63</v>
      </c>
      <c r="BC52" s="1" t="s">
        <v>616</v>
      </c>
      <c r="BF52" t="str">
        <f t="shared" si="3"/>
        <v/>
      </c>
      <c r="BI52">
        <v>11</v>
      </c>
    </row>
    <row r="53" spans="1:61" ht="11.45" customHeight="1" x14ac:dyDescent="0.15">
      <c r="E53" s="1"/>
      <c r="F53" s="1"/>
      <c r="G53" s="1"/>
      <c r="H53" s="1"/>
      <c r="I53" s="1"/>
      <c r="J53" s="1"/>
      <c r="K53" s="1"/>
      <c r="P53" s="1"/>
      <c r="Q53" s="1"/>
      <c r="S53" s="1"/>
      <c r="T53" s="1"/>
      <c r="AD53" s="1"/>
      <c r="AE53" s="1"/>
      <c r="AF53" s="1"/>
      <c r="AG53" s="1"/>
      <c r="AH53" s="1"/>
      <c r="AI53" s="1"/>
      <c r="AJ53" s="1"/>
      <c r="AK53" s="1"/>
      <c r="AL53" s="1"/>
      <c r="AM53" s="1"/>
      <c r="AN53" s="1"/>
      <c r="AO53" s="1"/>
      <c r="AP53" s="1"/>
      <c r="AS53" t="s">
        <v>617</v>
      </c>
      <c r="BC53" s="1"/>
      <c r="BI53">
        <v>11</v>
      </c>
    </row>
    <row r="54" spans="1:61" ht="11.45" customHeight="1" x14ac:dyDescent="0.15">
      <c r="A54" t="s">
        <v>310</v>
      </c>
      <c r="E54" s="1"/>
      <c r="F54" s="1"/>
      <c r="G54" s="1"/>
      <c r="H54" s="1"/>
      <c r="I54" s="1"/>
      <c r="J54" s="1"/>
      <c r="K54" s="1"/>
      <c r="P54" s="1"/>
      <c r="Q54" s="1"/>
      <c r="S54" s="1"/>
      <c r="T54" s="1"/>
      <c r="AD54" s="1"/>
      <c r="AE54" s="1"/>
      <c r="AF54" s="1"/>
      <c r="AG54" s="1"/>
      <c r="AH54" s="1"/>
      <c r="AI54" s="1"/>
      <c r="AJ54" s="1"/>
      <c r="AK54" s="1"/>
      <c r="AL54" s="1"/>
      <c r="AO54" t="s">
        <v>618</v>
      </c>
      <c r="BC54" s="1"/>
      <c r="BI54">
        <v>11</v>
      </c>
    </row>
    <row r="55" spans="1:61" ht="11.45" customHeight="1" x14ac:dyDescent="0.15">
      <c r="A55" t="s">
        <v>310</v>
      </c>
      <c r="E55" s="1"/>
      <c r="F55" s="1"/>
      <c r="G55" s="1"/>
      <c r="H55" s="1"/>
      <c r="I55" s="1"/>
      <c r="J55" s="1"/>
      <c r="K55" s="1"/>
      <c r="P55" s="1"/>
      <c r="Q55" s="1"/>
      <c r="S55" s="1"/>
      <c r="T55" s="1"/>
      <c r="AD55" s="1"/>
      <c r="AE55" s="1"/>
      <c r="AF55" s="1"/>
      <c r="AG55" s="1"/>
      <c r="AH55" s="1"/>
      <c r="AK55" t="s">
        <v>619</v>
      </c>
      <c r="BC55" s="1"/>
      <c r="BI55">
        <v>11</v>
      </c>
    </row>
    <row r="56" spans="1:61" ht="11.45" customHeight="1" x14ac:dyDescent="0.15">
      <c r="A56" t="s">
        <v>310</v>
      </c>
      <c r="B56" t="s">
        <v>311</v>
      </c>
      <c r="C56" t="s">
        <v>312</v>
      </c>
      <c r="D56" t="s">
        <v>661</v>
      </c>
      <c r="E56" s="1"/>
      <c r="F56" s="1"/>
      <c r="G56" s="1"/>
      <c r="H56" s="1"/>
      <c r="I56" s="1"/>
      <c r="J56" s="1"/>
      <c r="K56" s="1"/>
      <c r="P56" s="1"/>
      <c r="Q56" s="1"/>
      <c r="S56" s="1"/>
      <c r="T56" s="1"/>
      <c r="W56" t="str">
        <f>Z52&amp;"-"&amp;AB52</f>
        <v>-</v>
      </c>
      <c r="Y56" t="str">
        <f>AB52&amp;"-"&amp;AD52</f>
        <v>-да</v>
      </c>
      <c r="AD56" s="1"/>
      <c r="AG56" t="s">
        <v>620</v>
      </c>
      <c r="AU56" t="str">
        <f>AX52&amp;"-"&amp;AZ52</f>
        <v>-</v>
      </c>
      <c r="AW56" t="str">
        <f>AZ52&amp;"-"&amp;BB52</f>
        <v>-</v>
      </c>
      <c r="BB56" t="str">
        <f>BE52&amp;"-"&amp;BG52</f>
        <v>-</v>
      </c>
      <c r="BC56" s="1"/>
      <c r="BF56" t="str">
        <f t="shared" ref="BF56:BF63" si="4">IF(T56="","",T56)</f>
        <v/>
      </c>
      <c r="BI56">
        <v>11</v>
      </c>
    </row>
    <row r="57" spans="1:61" ht="11.45" customHeight="1" x14ac:dyDescent="0.15">
      <c r="A57" t="s">
        <v>310</v>
      </c>
      <c r="B57" t="s">
        <v>311</v>
      </c>
      <c r="C57" t="s">
        <v>312</v>
      </c>
      <c r="D57" t="s">
        <v>661</v>
      </c>
      <c r="E57" s="1"/>
      <c r="F57" s="1"/>
      <c r="G57" s="1"/>
      <c r="H57" s="1"/>
      <c r="I57" s="1"/>
      <c r="J57" s="1"/>
      <c r="P57" s="1"/>
      <c r="Q57" s="1"/>
      <c r="T57" t="s">
        <v>583</v>
      </c>
      <c r="BC57" s="1"/>
      <c r="BF57" t="str">
        <f t="shared" si="4"/>
        <v>Добавить строку</v>
      </c>
      <c r="BI57">
        <v>11</v>
      </c>
    </row>
    <row r="58" spans="1:61" ht="0" hidden="1" customHeight="1" x14ac:dyDescent="0.15">
      <c r="A58" t="s">
        <v>310</v>
      </c>
      <c r="B58" t="s">
        <v>311</v>
      </c>
      <c r="C58" t="s">
        <v>312</v>
      </c>
      <c r="D58" t="s">
        <v>661</v>
      </c>
      <c r="E58" s="1"/>
      <c r="F58" s="1"/>
      <c r="G58" s="1"/>
      <c r="H58" s="1"/>
      <c r="I58" s="1"/>
      <c r="P58" s="1"/>
      <c r="BF58" t="str">
        <f t="shared" si="4"/>
        <v/>
      </c>
      <c r="BI58">
        <v>0</v>
      </c>
    </row>
    <row r="59" spans="1:61" ht="0" hidden="1" customHeight="1" x14ac:dyDescent="0.15">
      <c r="A59" t="s">
        <v>310</v>
      </c>
      <c r="B59" t="s">
        <v>311</v>
      </c>
      <c r="C59" t="s">
        <v>312</v>
      </c>
      <c r="D59" t="s">
        <v>661</v>
      </c>
      <c r="E59" s="1"/>
      <c r="F59" s="1"/>
      <c r="G59" s="1"/>
      <c r="H59" s="1"/>
      <c r="BF59" t="str">
        <f t="shared" si="4"/>
        <v/>
      </c>
      <c r="BI59">
        <v>0</v>
      </c>
    </row>
    <row r="60" spans="1:61" ht="0" hidden="1" customHeight="1" x14ac:dyDescent="0.15">
      <c r="A60" t="s">
        <v>310</v>
      </c>
      <c r="B60" t="s">
        <v>311</v>
      </c>
      <c r="C60" t="s">
        <v>312</v>
      </c>
      <c r="E60" s="1"/>
      <c r="F60" s="1"/>
      <c r="G60" s="1"/>
      <c r="BF60" t="str">
        <f t="shared" si="4"/>
        <v/>
      </c>
      <c r="BI60">
        <v>0</v>
      </c>
    </row>
    <row r="61" spans="1:61" ht="0" hidden="1" customHeight="1" x14ac:dyDescent="0.15">
      <c r="A61" t="s">
        <v>310</v>
      </c>
      <c r="B61" t="s">
        <v>311</v>
      </c>
      <c r="E61" s="1"/>
      <c r="F61" s="1"/>
      <c r="T61" t="s">
        <v>321</v>
      </c>
      <c r="BF61" t="str">
        <f t="shared" si="4"/>
        <v>Добавить централизованную систему для дифференциации</v>
      </c>
      <c r="BI61">
        <v>0</v>
      </c>
    </row>
    <row r="62" spans="1:61" ht="0" hidden="1" customHeight="1" x14ac:dyDescent="0.15">
      <c r="A62" t="s">
        <v>310</v>
      </c>
      <c r="E62" s="1"/>
      <c r="T62" t="s">
        <v>385</v>
      </c>
      <c r="BF62" t="str">
        <f t="shared" si="4"/>
        <v>Добавить территорию для дифференциации</v>
      </c>
      <c r="BI62">
        <v>0</v>
      </c>
    </row>
    <row r="63" spans="1:61" ht="0" hidden="1" customHeight="1" x14ac:dyDescent="0.15">
      <c r="T63" t="s">
        <v>386</v>
      </c>
      <c r="BF63" t="str">
        <f t="shared" si="4"/>
        <v>Добавить наименование тарифа</v>
      </c>
      <c r="BI63">
        <v>0</v>
      </c>
    </row>
    <row r="64" spans="1:61" ht="11.45" customHeight="1" x14ac:dyDescent="0.15">
      <c r="BI64">
        <v>11</v>
      </c>
    </row>
    <row r="65" spans="1:61" ht="19.899999999999999" customHeight="1" x14ac:dyDescent="0.15">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I65">
        <v>19</v>
      </c>
    </row>
    <row r="66" spans="1:61" ht="14.65" customHeight="1" x14ac:dyDescent="0.15">
      <c r="BI66">
        <v>14</v>
      </c>
    </row>
    <row r="67" spans="1:61" ht="19.899999999999999" customHeight="1" x14ac:dyDescent="0.15">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I67">
        <v>19</v>
      </c>
    </row>
    <row r="68" spans="1:61" ht="14.65" customHeight="1" x14ac:dyDescent="0.15">
      <c r="BI68">
        <v>14</v>
      </c>
    </row>
    <row r="69" spans="1:61" ht="14.25" hidden="1" customHeight="1" x14ac:dyDescent="0.15">
      <c r="A69" t="s">
        <v>84</v>
      </c>
      <c r="B69">
        <v>0</v>
      </c>
      <c r="C69">
        <v>0</v>
      </c>
      <c r="D69">
        <v>0</v>
      </c>
      <c r="E69">
        <v>0</v>
      </c>
      <c r="F69">
        <v>0</v>
      </c>
      <c r="G69">
        <v>0</v>
      </c>
      <c r="H69">
        <v>0</v>
      </c>
      <c r="I69">
        <v>0</v>
      </c>
      <c r="J69">
        <v>0</v>
      </c>
      <c r="K69">
        <v>0</v>
      </c>
      <c r="L69">
        <v>0</v>
      </c>
      <c r="M69">
        <v>0</v>
      </c>
      <c r="N69">
        <v>0</v>
      </c>
      <c r="O69">
        <v>0</v>
      </c>
      <c r="P69">
        <v>0</v>
      </c>
      <c r="Q69">
        <v>0</v>
      </c>
      <c r="R69">
        <v>3</v>
      </c>
      <c r="S69">
        <v>12</v>
      </c>
      <c r="T69">
        <v>31</v>
      </c>
      <c r="U69">
        <v>0</v>
      </c>
      <c r="V69">
        <v>0</v>
      </c>
      <c r="W69">
        <v>0</v>
      </c>
      <c r="X69">
        <v>0</v>
      </c>
      <c r="Y69">
        <v>0</v>
      </c>
      <c r="Z69">
        <v>0</v>
      </c>
      <c r="AA69">
        <v>0</v>
      </c>
      <c r="AB69">
        <v>0</v>
      </c>
      <c r="AC69">
        <v>0</v>
      </c>
      <c r="AD69">
        <v>3</v>
      </c>
      <c r="AE69">
        <v>3</v>
      </c>
      <c r="AF69">
        <v>3</v>
      </c>
      <c r="AG69">
        <v>24</v>
      </c>
      <c r="AH69">
        <v>3</v>
      </c>
      <c r="AI69">
        <v>3</v>
      </c>
      <c r="AJ69">
        <v>3</v>
      </c>
      <c r="AK69">
        <v>24</v>
      </c>
      <c r="AL69">
        <v>3</v>
      </c>
      <c r="AM69">
        <v>3</v>
      </c>
      <c r="AN69">
        <v>3</v>
      </c>
      <c r="AO69">
        <v>18</v>
      </c>
      <c r="AP69">
        <v>3</v>
      </c>
      <c r="AQ69">
        <v>3</v>
      </c>
      <c r="AR69">
        <v>3</v>
      </c>
      <c r="AS69">
        <v>18</v>
      </c>
      <c r="AT69">
        <v>21</v>
      </c>
      <c r="AU69">
        <v>21</v>
      </c>
      <c r="AV69">
        <v>21</v>
      </c>
      <c r="AW69">
        <v>21</v>
      </c>
      <c r="AX69">
        <v>11</v>
      </c>
      <c r="AY69">
        <v>3</v>
      </c>
      <c r="AZ69">
        <v>11</v>
      </c>
      <c r="BA69">
        <v>0</v>
      </c>
      <c r="BB69">
        <v>4</v>
      </c>
      <c r="BC69">
        <v>115</v>
      </c>
      <c r="BD69">
        <v>10</v>
      </c>
      <c r="BE69">
        <v>10</v>
      </c>
      <c r="BF69">
        <v>10</v>
      </c>
      <c r="BG69">
        <v>10</v>
      </c>
      <c r="BH69">
        <v>10</v>
      </c>
      <c r="BI6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7109375"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2:32" ht="22.5" hidden="1" customHeight="1" x14ac:dyDescent="0.15">
      <c r="AF1" t="s">
        <v>14</v>
      </c>
    </row>
    <row r="2" spans="2:32" ht="23.25" hidden="1" customHeight="1" x14ac:dyDescent="0.15">
      <c r="B2" s="1"/>
      <c r="C2" t="s">
        <v>662</v>
      </c>
      <c r="E2">
        <f>B2</f>
        <v>0</v>
      </c>
      <c r="G2" t="s">
        <v>663</v>
      </c>
      <c r="H2" t="s">
        <v>663</v>
      </c>
      <c r="I2" t="s">
        <v>663</v>
      </c>
      <c r="J2" t="s">
        <v>664</v>
      </c>
      <c r="AF2">
        <v>0</v>
      </c>
    </row>
    <row r="3" spans="2:32" ht="0.75" hidden="1" customHeight="1" x14ac:dyDescent="0.15">
      <c r="B3" s="1"/>
      <c r="F3" t="s">
        <v>665</v>
      </c>
      <c r="H3">
        <f>H4*H5+H7</f>
        <v>0</v>
      </c>
      <c r="I3">
        <f>I4*I5+I6</f>
        <v>0</v>
      </c>
      <c r="AF3">
        <v>0</v>
      </c>
    </row>
    <row r="4" spans="2:32" ht="23.25" hidden="1" customHeight="1" x14ac:dyDescent="0.15">
      <c r="B4" s="1"/>
      <c r="E4" t="str">
        <f>B2&amp;".1"</f>
        <v>.1</v>
      </c>
      <c r="F4" t="s">
        <v>666</v>
      </c>
      <c r="J4" t="s">
        <v>667</v>
      </c>
      <c r="AF4">
        <v>0</v>
      </c>
    </row>
    <row r="5" spans="2:32" ht="18.75" hidden="1" customHeight="1" x14ac:dyDescent="0.15">
      <c r="B5" s="1"/>
      <c r="E5" t="str">
        <f>B2&amp;".2"</f>
        <v>.2</v>
      </c>
      <c r="F5" t="s">
        <v>668</v>
      </c>
      <c r="G5" t="s">
        <v>669</v>
      </c>
      <c r="AF5">
        <v>0</v>
      </c>
    </row>
    <row r="6" spans="2:32" ht="18.75" hidden="1" customHeight="1" x14ac:dyDescent="0.15">
      <c r="B6" s="1"/>
      <c r="E6" t="str">
        <f>B2&amp;".3"</f>
        <v>.3</v>
      </c>
      <c r="F6" t="s">
        <v>670</v>
      </c>
      <c r="G6" t="s">
        <v>669</v>
      </c>
      <c r="AF6">
        <v>0</v>
      </c>
    </row>
    <row r="7" spans="2:32" ht="18.75" hidden="1" customHeight="1" x14ac:dyDescent="0.15">
      <c r="B7" s="1"/>
      <c r="E7" t="str">
        <f>B2&amp;".4"</f>
        <v>.4</v>
      </c>
      <c r="F7" t="s">
        <v>671</v>
      </c>
      <c r="G7" t="s">
        <v>663</v>
      </c>
      <c r="AF7">
        <v>0</v>
      </c>
    </row>
    <row r="8" spans="2:32" ht="11.25" hidden="1" customHeight="1" x14ac:dyDescent="0.15">
      <c r="H8">
        <v>4</v>
      </c>
      <c r="I8">
        <v>4</v>
      </c>
      <c r="AF8">
        <v>0</v>
      </c>
    </row>
    <row r="9" spans="2:32" ht="22.5" hidden="1" customHeight="1" x14ac:dyDescent="0.15">
      <c r="G9" t="s">
        <v>669</v>
      </c>
      <c r="J9" t="s">
        <v>672</v>
      </c>
      <c r="AF9">
        <v>0</v>
      </c>
    </row>
    <row r="10" spans="2:32" ht="11.25" hidden="1" customHeight="1" x14ac:dyDescent="0.15">
      <c r="AF10">
        <v>0</v>
      </c>
    </row>
    <row r="11" spans="2:32" ht="18.75" hidden="1" customHeight="1" x14ac:dyDescent="0.15">
      <c r="G11" t="s">
        <v>673</v>
      </c>
      <c r="J11" t="s">
        <v>674</v>
      </c>
      <c r="AF11">
        <v>0</v>
      </c>
    </row>
    <row r="12" spans="2:32" ht="11.25" hidden="1" customHeight="1" x14ac:dyDescent="0.15">
      <c r="AF12">
        <v>0</v>
      </c>
    </row>
    <row r="13" spans="2:32" ht="22.5" hidden="1" customHeight="1" x14ac:dyDescent="0.15">
      <c r="G13" t="s">
        <v>675</v>
      </c>
      <c r="J13" t="s">
        <v>676</v>
      </c>
      <c r="AF13">
        <v>0</v>
      </c>
    </row>
    <row r="14" spans="2:32" ht="11.25" hidden="1" customHeight="1" x14ac:dyDescent="0.15">
      <c r="AF14">
        <v>0</v>
      </c>
    </row>
    <row r="15" spans="2:32" ht="22.5" hidden="1" customHeight="1" x14ac:dyDescent="0.15">
      <c r="G15" t="s">
        <v>677</v>
      </c>
      <c r="J15" t="s">
        <v>678</v>
      </c>
      <c r="AF15">
        <v>0</v>
      </c>
    </row>
    <row r="16" spans="2:32" ht="11.25" hidden="1" customHeight="1" x14ac:dyDescent="0.15">
      <c r="AF16">
        <v>0</v>
      </c>
    </row>
    <row r="17" spans="5:32" ht="22.5" hidden="1" customHeight="1" x14ac:dyDescent="0.15">
      <c r="G17" t="s">
        <v>679</v>
      </c>
      <c r="J17" t="s">
        <v>680</v>
      </c>
      <c r="AF17">
        <v>0</v>
      </c>
    </row>
    <row r="18" spans="5:32" ht="11.25" hidden="1" customHeight="1" x14ac:dyDescent="0.15">
      <c r="AF18">
        <v>0</v>
      </c>
    </row>
    <row r="19" spans="5:32" ht="11.25" hidden="1" customHeight="1" x14ac:dyDescent="0.15">
      <c r="J19">
        <v>4</v>
      </c>
      <c r="AF19">
        <v>0</v>
      </c>
    </row>
    <row r="20" spans="5:32" ht="11.45" customHeight="1" x14ac:dyDescent="0.15">
      <c r="AF20">
        <v>11</v>
      </c>
    </row>
    <row r="21" spans="5:32" ht="25.15" customHeight="1" x14ac:dyDescent="0.15">
      <c r="E21" s="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
      <c r="G21" s="1"/>
      <c r="H21" s="1"/>
      <c r="I21" s="1"/>
      <c r="AF21">
        <v>24</v>
      </c>
    </row>
    <row r="22" spans="5:32" ht="25.15" customHeight="1" x14ac:dyDescent="0.15">
      <c r="E22" s="1" t="str">
        <f>IF(org=0,"Не определено",org)</f>
        <v>КГУП "Примтеплоэнерго"</v>
      </c>
      <c r="F22" s="1"/>
      <c r="G22" s="1"/>
      <c r="H22" s="1"/>
      <c r="I22" s="1"/>
      <c r="AF22">
        <v>24</v>
      </c>
    </row>
    <row r="23" spans="5:32" ht="11.45" customHeight="1" x14ac:dyDescent="0.15">
      <c r="AF23">
        <v>11</v>
      </c>
    </row>
    <row r="24" spans="5:32" ht="1.1499999999999999" customHeight="1" x14ac:dyDescent="0.15">
      <c r="I24" t="s">
        <v>173</v>
      </c>
      <c r="AF24">
        <v>1</v>
      </c>
    </row>
    <row r="25" spans="5:32" ht="11.45" customHeight="1" x14ac:dyDescent="0.15">
      <c r="F25" s="1" t="s">
        <v>165</v>
      </c>
      <c r="G25" s="1"/>
      <c r="H25" t="str">
        <f>IF(H24="","",INDEX(DIFFERENTIATION_UNMERGE_VD,MATCH(H24,DIFFERENTIATION_ID_DIFF,0)))</f>
        <v/>
      </c>
      <c r="I25">
        <f>IF(I24="","",INDEX(DIFFERENTIATION_UNMERGE_VD,MATCH(I24,DIFFERENTIATION_ID_DIFF,0)))</f>
        <v>0</v>
      </c>
      <c r="J25" s="1"/>
      <c r="AF25">
        <v>11</v>
      </c>
    </row>
    <row r="26" spans="5:32" ht="11.45" customHeight="1" x14ac:dyDescent="0.15">
      <c r="F26" s="1" t="s">
        <v>681</v>
      </c>
      <c r="G26" s="1"/>
      <c r="H26" t="str">
        <f>IF(H24="","",INDEX(DIFFERENTIATION_UNMERGE_AREA,MATCH(H24,DIFFERENTIATION_ID_DIFF,0)))</f>
        <v/>
      </c>
      <c r="I26" t="str">
        <f>IF(I24="","",INDEX(DIFFERENTIATION_UNMERGE_AREA,MATCH(I24,DIFFERENTIATION_ID_DIFF,0)))</f>
        <v/>
      </c>
      <c r="J26" s="1"/>
      <c r="AF26">
        <v>11</v>
      </c>
    </row>
    <row r="27" spans="5:32" ht="11.45" customHeight="1" x14ac:dyDescent="0.15">
      <c r="F27" s="1" t="s">
        <v>682</v>
      </c>
      <c r="G27" s="1"/>
      <c r="H27" t="str">
        <f>IF(H24="","",INDEX(DIFFERENTIATION_UNMERGE_SYSTEM,MATCH(H24,DIFFERENTIATION_ID_DIFF,0)))</f>
        <v/>
      </c>
      <c r="I27" t="str">
        <f>IF(I24="","",INDEX(DIFFERENTIATION_UNMERGE_SYSTEM,MATCH(I24,DIFFERENTIATION_ID_DIFF,0)))</f>
        <v>без дифференциации</v>
      </c>
      <c r="J27" s="1"/>
      <c r="AF27">
        <v>11</v>
      </c>
    </row>
    <row r="28" spans="5:32" ht="11.45" customHeight="1" x14ac:dyDescent="0.15">
      <c r="E28" s="1" t="s">
        <v>418</v>
      </c>
      <c r="F28" s="1"/>
      <c r="G28" s="1"/>
      <c r="J28" s="1"/>
      <c r="AF28">
        <v>11</v>
      </c>
    </row>
    <row r="29" spans="5:32" ht="24" customHeight="1" x14ac:dyDescent="0.15">
      <c r="E29" t="s">
        <v>90</v>
      </c>
      <c r="F29" t="s">
        <v>420</v>
      </c>
      <c r="G29" t="s">
        <v>683</v>
      </c>
      <c r="H29" t="s">
        <v>421</v>
      </c>
      <c r="I29" t="s">
        <v>421</v>
      </c>
      <c r="J29" s="1"/>
      <c r="AF29">
        <v>23</v>
      </c>
    </row>
    <row r="30" spans="5:32" ht="19.899999999999999" customHeight="1" x14ac:dyDescent="0.15">
      <c r="E30">
        <f>FHD_NUM_P_1</f>
        <v>1</v>
      </c>
      <c r="F30" t="str">
        <f>FHD_P_1</f>
        <v>Выручка от регулируемых видов деятельности в сфере водоотведения</v>
      </c>
      <c r="G30" t="s">
        <v>669</v>
      </c>
      <c r="J30" t="str">
        <f>FHD_NOTE_P_1</f>
        <v>Указывается выручка с распределением по видам деятельности.</v>
      </c>
      <c r="AF30">
        <v>19</v>
      </c>
    </row>
    <row r="31" spans="5:32" ht="11.45" customHeight="1" x14ac:dyDescent="0.15">
      <c r="E31">
        <f>FHD_NUM_P_2</f>
        <v>2</v>
      </c>
      <c r="F31" t="str">
        <f>FHD_P_2</f>
        <v>Себестоимость производимых товаров (оказываемых услуг) по регулируемым видам деятельности в сфере водоотведения, включая:</v>
      </c>
      <c r="G31" t="s">
        <v>669</v>
      </c>
      <c r="H31">
        <f>SUMIF($K33:$K71,$K31,H33:H71)</f>
        <v>0</v>
      </c>
      <c r="I31">
        <f>SUMIF($K33:$K71,$K31,I33:I71)</f>
        <v>0</v>
      </c>
      <c r="J31" t="str">
        <f>FHD_NOTE_P_2</f>
        <v>Указывается суммарная себестоимость производимых товаров.</v>
      </c>
      <c r="K31" t="s">
        <v>684</v>
      </c>
      <c r="AF31">
        <v>11</v>
      </c>
    </row>
    <row r="32" spans="5:32" ht="11.45" customHeight="1" x14ac:dyDescent="0.15">
      <c r="E32" t="str">
        <f>FHD_NUM_P_3</f>
        <v>2.1</v>
      </c>
      <c r="F32" t="str">
        <f>FHD_P_3</f>
        <v>Расходы на оплату услуг по приему, транспортировке и очистке сточных вод другими организациями</v>
      </c>
      <c r="G32" t="s">
        <v>669</v>
      </c>
      <c r="J32" t="str">
        <f>FHD_NOTE_P_3</f>
        <v/>
      </c>
      <c r="K32" t="str">
        <f t="shared" ref="K32:K70" si="0">IF((LEN(E32)-LEN(SUBSTITUTE(E32,".","")))/LEN(".")=1,"p","")</f>
        <v>p</v>
      </c>
      <c r="AF32">
        <v>11</v>
      </c>
    </row>
    <row r="33" spans="1:32" ht="11.25" hidden="1" customHeight="1" x14ac:dyDescent="0.15">
      <c r="A33" s="1" t="s">
        <v>685</v>
      </c>
      <c r="E33" t="str">
        <f>FHD_NUM_P_4</f>
        <v/>
      </c>
      <c r="F33" t="str">
        <f>FHD_P_4</f>
        <v/>
      </c>
      <c r="G33" t="s">
        <v>669</v>
      </c>
      <c r="H33">
        <f>SUMIF($F34:$F40,$F3,H34:H40)</f>
        <v>0</v>
      </c>
      <c r="I33">
        <f>SUMIF($F34:$F40,$F3,I34:I40)</f>
        <v>0</v>
      </c>
      <c r="J33" t="str">
        <f>FHD_NOTE_P_4</f>
        <v/>
      </c>
      <c r="K33" t="str">
        <f t="shared" si="0"/>
        <v/>
      </c>
      <c r="AF33">
        <v>0</v>
      </c>
    </row>
    <row r="34" spans="1:32" ht="0.75" hidden="1" customHeight="1" x14ac:dyDescent="0.15">
      <c r="A34" s="1"/>
      <c r="B34" s="1" t="str">
        <f>E33&amp;".0"</f>
        <v>.0</v>
      </c>
      <c r="K34" t="str">
        <f t="shared" si="0"/>
        <v/>
      </c>
      <c r="AF34">
        <v>0</v>
      </c>
    </row>
    <row r="35" spans="1:32" ht="0.75" hidden="1" customHeight="1" x14ac:dyDescent="0.15">
      <c r="A35" s="1"/>
      <c r="B35" s="1"/>
      <c r="K35" t="str">
        <f t="shared" si="0"/>
        <v/>
      </c>
      <c r="AF35">
        <v>0</v>
      </c>
    </row>
    <row r="36" spans="1:32" ht="0.75" hidden="1" customHeight="1" x14ac:dyDescent="0.15">
      <c r="A36" s="1"/>
      <c r="B36" s="1"/>
      <c r="K36" t="str">
        <f t="shared" si="0"/>
        <v/>
      </c>
      <c r="AF36">
        <v>0</v>
      </c>
    </row>
    <row r="37" spans="1:32" ht="0.75" hidden="1" customHeight="1" x14ac:dyDescent="0.15">
      <c r="A37" s="1"/>
      <c r="B37" s="1"/>
      <c r="K37" t="str">
        <f t="shared" si="0"/>
        <v/>
      </c>
      <c r="AF37">
        <v>0</v>
      </c>
    </row>
    <row r="38" spans="1:32" ht="0.75" hidden="1" customHeight="1" x14ac:dyDescent="0.15">
      <c r="A38" s="1"/>
      <c r="B38" s="1"/>
      <c r="K38" t="str">
        <f t="shared" si="0"/>
        <v/>
      </c>
      <c r="AF38">
        <v>0</v>
      </c>
    </row>
    <row r="39" spans="1:32" ht="0.75" hidden="1" customHeight="1" x14ac:dyDescent="0.15">
      <c r="A39" s="1"/>
      <c r="B39" s="1"/>
      <c r="K39" t="str">
        <f t="shared" si="0"/>
        <v/>
      </c>
      <c r="AF39">
        <v>0</v>
      </c>
    </row>
    <row r="40" spans="1:32" ht="15" hidden="1" customHeight="1" x14ac:dyDescent="0.15">
      <c r="A40" s="1"/>
      <c r="F40" t="s">
        <v>686</v>
      </c>
      <c r="K40" t="str">
        <f t="shared" si="0"/>
        <v/>
      </c>
      <c r="AF40">
        <v>0</v>
      </c>
    </row>
    <row r="41" spans="1:32" ht="11.25" hidden="1" customHeight="1" x14ac:dyDescent="0.15">
      <c r="A41" s="1" t="s">
        <v>687</v>
      </c>
      <c r="E41" t="str">
        <f>FHD_NUM_P_5</f>
        <v/>
      </c>
      <c r="F41" t="str">
        <f>FHD_P_5</f>
        <v/>
      </c>
      <c r="G41" t="s">
        <v>669</v>
      </c>
      <c r="J41" t="str">
        <f>FHD_NOTE_P_5</f>
        <v/>
      </c>
      <c r="K41" t="str">
        <f t="shared" si="0"/>
        <v/>
      </c>
      <c r="AF41">
        <v>0</v>
      </c>
    </row>
    <row r="42" spans="1:32" ht="11.25" hidden="1" customHeight="1" x14ac:dyDescent="0.15">
      <c r="A42" s="1"/>
      <c r="E42" t="str">
        <f>FHD_NUM_P_6</f>
        <v/>
      </c>
      <c r="F42" t="str">
        <f>FHD_P_6</f>
        <v/>
      </c>
      <c r="G42" t="s">
        <v>669</v>
      </c>
      <c r="J42" t="str">
        <f>FHD_NOTE_P_6</f>
        <v/>
      </c>
      <c r="K42" t="str">
        <f t="shared" si="0"/>
        <v/>
      </c>
      <c r="AF42">
        <v>0</v>
      </c>
    </row>
    <row r="43" spans="1:32" ht="11.25" hidden="1" customHeight="1" x14ac:dyDescent="0.15">
      <c r="A43" s="1"/>
      <c r="E43" t="str">
        <f>FHD_NUM_P_7</f>
        <v/>
      </c>
      <c r="F43" t="str">
        <f>FHD_P_7</f>
        <v/>
      </c>
      <c r="G43" t="s">
        <v>669</v>
      </c>
      <c r="J43" t="str">
        <f>FHD_NOTE_P_7</f>
        <v/>
      </c>
      <c r="K43" t="str">
        <f t="shared" si="0"/>
        <v/>
      </c>
      <c r="AF43">
        <v>0</v>
      </c>
    </row>
    <row r="44" spans="1:32" ht="11.45" customHeight="1" x14ac:dyDescent="0.15">
      <c r="E44" t="str">
        <f>FHD_NUM_P_8</f>
        <v>2.2</v>
      </c>
      <c r="F44" t="str">
        <f>FHD_P_8</f>
        <v>Расходы на приобретаемую электрическую энергию (мощность), используемую в технологическом процессе</v>
      </c>
      <c r="G44" t="s">
        <v>669</v>
      </c>
      <c r="J44" t="str">
        <f>FHD_NOTE_P_8</f>
        <v/>
      </c>
      <c r="K44" t="str">
        <f t="shared" si="0"/>
        <v>p</v>
      </c>
      <c r="AF44">
        <v>11</v>
      </c>
    </row>
    <row r="45" spans="1:32" ht="11.45" customHeight="1" x14ac:dyDescent="0.15">
      <c r="E45" t="str">
        <f>FHD_NUM_P_9</f>
        <v>2.2.1</v>
      </c>
      <c r="F45" t="str">
        <f>FHD_P_9</f>
        <v>Средневзвешенная стоимость 1 кВт.ч (с учетом мощности)</v>
      </c>
      <c r="G45" t="s">
        <v>688</v>
      </c>
      <c r="J45" t="str">
        <f>FHD_NOTE_P_9</f>
        <v/>
      </c>
      <c r="K45" t="str">
        <f t="shared" si="0"/>
        <v/>
      </c>
      <c r="AF45">
        <v>11</v>
      </c>
    </row>
    <row r="46" spans="1:32" ht="11.45" customHeight="1" x14ac:dyDescent="0.15">
      <c r="E46" t="str">
        <f>FHD_NUM_P_10</f>
        <v>2.2.2</v>
      </c>
      <c r="F46" t="str">
        <f>FHD_P_10</f>
        <v>Объём приобретения электрической энергии</v>
      </c>
      <c r="G46" t="s">
        <v>689</v>
      </c>
      <c r="J46" t="str">
        <f>FHD_NOTE_P_10</f>
        <v/>
      </c>
      <c r="K46" t="str">
        <f t="shared" si="0"/>
        <v/>
      </c>
      <c r="AF46">
        <v>11</v>
      </c>
    </row>
    <row r="47" spans="1:32" ht="11.25" hidden="1" customHeight="1" x14ac:dyDescent="0.15">
      <c r="A47" t="s">
        <v>690</v>
      </c>
      <c r="E47" t="str">
        <f>FHD_NUM_P_11</f>
        <v/>
      </c>
      <c r="F47" t="str">
        <f>FHD_P_11</f>
        <v/>
      </c>
      <c r="G47" t="s">
        <v>669</v>
      </c>
      <c r="J47" t="str">
        <f>FHD_NOTE_P_11</f>
        <v/>
      </c>
      <c r="K47" t="str">
        <f t="shared" si="0"/>
        <v/>
      </c>
      <c r="AF47">
        <v>0</v>
      </c>
    </row>
    <row r="48" spans="1:32" ht="18.75" customHeight="1" x14ac:dyDescent="0.15">
      <c r="A48" t="s">
        <v>691</v>
      </c>
      <c r="E48" t="str">
        <f>FHD_NUM_P_12</f>
        <v>2.3</v>
      </c>
      <c r="F48" t="str">
        <f>FHD_P_12</f>
        <v>Расходы на химические реагенты, используемые в технологическом процессе</v>
      </c>
      <c r="G48" t="s">
        <v>669</v>
      </c>
      <c r="J48" t="str">
        <f>FHD_NOTE_P_12</f>
        <v/>
      </c>
      <c r="K48" t="str">
        <f t="shared" si="0"/>
        <v>p</v>
      </c>
      <c r="AF48">
        <v>18</v>
      </c>
    </row>
    <row r="49" spans="5:32" ht="11.45" customHeight="1" x14ac:dyDescent="0.15">
      <c r="E49" t="str">
        <f>FHD_NUM_P_13</f>
        <v>2.4</v>
      </c>
      <c r="F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t="s">
        <v>669</v>
      </c>
      <c r="J49" t="str">
        <f>FHD_NOTE_P_13</f>
        <v>Указывается общая сумма расходов на оплату труда и отчислений на социальные нужды основного производственного персонала.</v>
      </c>
      <c r="K49" t="str">
        <f t="shared" si="0"/>
        <v>p</v>
      </c>
      <c r="AF49">
        <v>11</v>
      </c>
    </row>
    <row r="50" spans="5:32" ht="11.45" customHeight="1" x14ac:dyDescent="0.15">
      <c r="E50" t="str">
        <f>FHD_NUM_P_14</f>
        <v>2.4.1</v>
      </c>
      <c r="F50" t="str">
        <f>FHD_P_14</f>
        <v>Расходы на оплату труда основного производственного персонала</v>
      </c>
      <c r="G50" t="s">
        <v>669</v>
      </c>
      <c r="J50" t="str">
        <f>FHD_NOTE_P_14</f>
        <v/>
      </c>
      <c r="K50" t="str">
        <f t="shared" si="0"/>
        <v/>
      </c>
      <c r="AF50">
        <v>11</v>
      </c>
    </row>
    <row r="51" spans="5:32" ht="11.45" customHeight="1" x14ac:dyDescent="0.15">
      <c r="E51" t="str">
        <f>FHD_NUM_P_15</f>
        <v>2.4.2</v>
      </c>
      <c r="F51" t="str">
        <f>FHD_P_15</f>
        <v>Страховые взносы на обязательное социальное страхование, выплачиваемые из фонда оплаты труда основного производственного персонала</v>
      </c>
      <c r="G51" t="s">
        <v>669</v>
      </c>
      <c r="J51" t="str">
        <f>FHD_NOTE_P_15</f>
        <v/>
      </c>
      <c r="K51" t="str">
        <f t="shared" si="0"/>
        <v/>
      </c>
      <c r="AF51">
        <v>11</v>
      </c>
    </row>
    <row r="52" spans="5:32" ht="11.45" customHeight="1" x14ac:dyDescent="0.15">
      <c r="E52" t="str">
        <f>FHD_NUM_P_16</f>
        <v>2.5</v>
      </c>
      <c r="F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t="s">
        <v>669</v>
      </c>
      <c r="J52" t="str">
        <f>FHD_NOTE_P_16</f>
        <v>Указывается общая сумма расходов на оплату труда и отчислений на социальные нужды административно-управленческого персонала.</v>
      </c>
      <c r="K52" t="str">
        <f t="shared" si="0"/>
        <v>p</v>
      </c>
      <c r="AF52">
        <v>11</v>
      </c>
    </row>
    <row r="53" spans="5:32" ht="11.45" customHeight="1" x14ac:dyDescent="0.15">
      <c r="E53" t="str">
        <f>FHD_NUM_P_17</f>
        <v>2.5.1</v>
      </c>
      <c r="F53" t="str">
        <f>FHD_P_17</f>
        <v>Расходы на оплату труда административно-управленческого персонала, в том числе:</v>
      </c>
      <c r="G53" t="s">
        <v>669</v>
      </c>
      <c r="J53" t="str">
        <f>FHD_NOTE_P_17</f>
        <v/>
      </c>
      <c r="K53" t="str">
        <f t="shared" si="0"/>
        <v/>
      </c>
      <c r="AF53">
        <v>11</v>
      </c>
    </row>
    <row r="54" spans="5:32" ht="11.45" customHeight="1" x14ac:dyDescent="0.15">
      <c r="E54" t="str">
        <f>FHD_NUM_P_18</f>
        <v>2.5.2</v>
      </c>
      <c r="F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t="s">
        <v>669</v>
      </c>
      <c r="J54" t="str">
        <f>FHD_NOTE_P_18</f>
        <v/>
      </c>
      <c r="K54" t="str">
        <f t="shared" si="0"/>
        <v/>
      </c>
      <c r="AF54">
        <v>11</v>
      </c>
    </row>
    <row r="55" spans="5:32" ht="11.45" customHeight="1" x14ac:dyDescent="0.15">
      <c r="E55" t="str">
        <f>FHD_NUM_P_19</f>
        <v>2.6</v>
      </c>
      <c r="F55" t="str">
        <f>FHD_P_19</f>
        <v>Расходы на амортизацию основных средств и нематериальных активов</v>
      </c>
      <c r="G55" t="s">
        <v>669</v>
      </c>
      <c r="J55" t="str">
        <f>FHD_NOTE_P_19</f>
        <v/>
      </c>
      <c r="K55" t="str">
        <f t="shared" si="0"/>
        <v>p</v>
      </c>
      <c r="AF55">
        <v>11</v>
      </c>
    </row>
    <row r="56" spans="5:32" ht="11.45" customHeight="1" x14ac:dyDescent="0.15">
      <c r="E56" t="str">
        <f>FHD_NUM_P_20</f>
        <v>2.6.1</v>
      </c>
      <c r="F56" t="str">
        <f>FHD_P_20</f>
        <v>Расходы на амортизацию основных средств</v>
      </c>
      <c r="G56" t="s">
        <v>669</v>
      </c>
      <c r="J56" t="str">
        <f>FHD_NOTE_P_20</f>
        <v/>
      </c>
      <c r="K56" t="str">
        <f t="shared" si="0"/>
        <v/>
      </c>
      <c r="AF56">
        <v>11</v>
      </c>
    </row>
    <row r="57" spans="5:32" ht="11.45" customHeight="1" x14ac:dyDescent="0.15">
      <c r="E57" t="str">
        <f>FHD_NUM_P_21</f>
        <v>2.6.2</v>
      </c>
      <c r="F57" t="str">
        <f>FHD_P_21</f>
        <v>Расходы на амортизацию нематериальных активов</v>
      </c>
      <c r="G57" t="s">
        <v>669</v>
      </c>
      <c r="J57" t="str">
        <f>FHD_NOTE_P_21</f>
        <v/>
      </c>
      <c r="K57" t="str">
        <f t="shared" si="0"/>
        <v/>
      </c>
      <c r="AF57">
        <v>11</v>
      </c>
    </row>
    <row r="58" spans="5:32" ht="11.45" customHeight="1" x14ac:dyDescent="0.15">
      <c r="E58" t="str">
        <f>FHD_NUM_P_22</f>
        <v>2.7</v>
      </c>
      <c r="F58" t="str">
        <f>FHD_P_22</f>
        <v>Расходы на аренду имущества, используемого для осуществления регулируемых видов деятельности в сфере водоотведения</v>
      </c>
      <c r="G58" t="s">
        <v>669</v>
      </c>
      <c r="J58" t="str">
        <f>FHD_NOTE_P_22</f>
        <v/>
      </c>
      <c r="K58" t="str">
        <f t="shared" si="0"/>
        <v>p</v>
      </c>
      <c r="AF58">
        <v>11</v>
      </c>
    </row>
    <row r="59" spans="5:32" ht="11.45" customHeight="1" x14ac:dyDescent="0.15">
      <c r="E59" t="str">
        <f>FHD_NUM_P_23</f>
        <v>2.8</v>
      </c>
      <c r="F59" t="str">
        <f>FHD_P_23</f>
        <v>Общепроизводственные расходы, в том числе:</v>
      </c>
      <c r="G59" t="s">
        <v>669</v>
      </c>
      <c r="J59" t="str">
        <f>FHD_NOTE_P_23</f>
        <v>Указывается общая сумма общепроизводственных расходов.</v>
      </c>
      <c r="K59" t="str">
        <f t="shared" si="0"/>
        <v>p</v>
      </c>
      <c r="AF59">
        <v>11</v>
      </c>
    </row>
    <row r="60" spans="5:32" ht="11.45" customHeight="1" x14ac:dyDescent="0.15">
      <c r="E60" t="str">
        <f>FHD_NUM_P_24</f>
        <v>2.8.1</v>
      </c>
      <c r="F60" t="str">
        <f>FHD_P_24</f>
        <v>Расходы на текущий ремонт</v>
      </c>
      <c r="G60" t="s">
        <v>669</v>
      </c>
      <c r="J60" t="str">
        <f>FHD_NOTE_P_24</f>
        <v>Указываются расходы на текущий ремонт, отнесенные к общепроизводственным расходам.</v>
      </c>
      <c r="K60" t="str">
        <f t="shared" si="0"/>
        <v/>
      </c>
      <c r="AF60">
        <v>11</v>
      </c>
    </row>
    <row r="61" spans="5:32" ht="11.45" customHeight="1" x14ac:dyDescent="0.15">
      <c r="E61" t="str">
        <f>FHD_NUM_P_25</f>
        <v>2.8.2</v>
      </c>
      <c r="F61" t="str">
        <f>FHD_P_25</f>
        <v>Расходы на капитальный ремонт</v>
      </c>
      <c r="G61" t="s">
        <v>669</v>
      </c>
      <c r="J61" t="str">
        <f>FHD_NOTE_P_25</f>
        <v>Указываются расходы на капитальный ремонт, отнесенные к общепроизводственным расходам.</v>
      </c>
      <c r="K61" t="str">
        <f t="shared" si="0"/>
        <v/>
      </c>
      <c r="AF61">
        <v>11</v>
      </c>
    </row>
    <row r="62" spans="5:32" ht="11.45" customHeight="1" x14ac:dyDescent="0.15">
      <c r="E62" t="str">
        <f>FHD_NUM_P_26</f>
        <v>2.9</v>
      </c>
      <c r="F62" t="str">
        <f>FHD_P_26</f>
        <v>Общехозяйственные расходы, в том числе:</v>
      </c>
      <c r="G62" t="s">
        <v>669</v>
      </c>
      <c r="J62" t="str">
        <f>FHD_NOTE_P_26</f>
        <v>Указывается общая сумма общехозяйственных расходов.</v>
      </c>
      <c r="K62" t="str">
        <f t="shared" si="0"/>
        <v>p</v>
      </c>
      <c r="AF62">
        <v>11</v>
      </c>
    </row>
    <row r="63" spans="5:32" ht="11.45" customHeight="1" x14ac:dyDescent="0.15">
      <c r="E63" t="str">
        <f>FHD_NUM_P_27</f>
        <v>2.9.1</v>
      </c>
      <c r="F63" t="str">
        <f>FHD_P_27</f>
        <v>Расходы на текущий ремонт</v>
      </c>
      <c r="G63" t="s">
        <v>669</v>
      </c>
      <c r="J63" t="str">
        <f>FHD_NOTE_P_27</f>
        <v>Указываются расходы на текущий ремонт, отнесенные к общехозяйственным расходам.</v>
      </c>
      <c r="K63" t="str">
        <f t="shared" si="0"/>
        <v/>
      </c>
      <c r="AF63">
        <v>11</v>
      </c>
    </row>
    <row r="64" spans="5:32" ht="11.45" customHeight="1" x14ac:dyDescent="0.15">
      <c r="E64" t="str">
        <f>FHD_NUM_P_28</f>
        <v>2.9.2</v>
      </c>
      <c r="F64" t="str">
        <f>FHD_P_28</f>
        <v>Расходы на капитальный ремонт</v>
      </c>
      <c r="G64" t="s">
        <v>669</v>
      </c>
      <c r="J64" t="str">
        <f>FHD_NOTE_P_28</f>
        <v>Указываются расходы на капитальный ремонт, отнесенные к общехозяйственным расходам.</v>
      </c>
      <c r="K64" t="str">
        <f t="shared" si="0"/>
        <v/>
      </c>
      <c r="AF64">
        <v>11</v>
      </c>
    </row>
    <row r="65" spans="1:32" ht="11.45" customHeight="1" x14ac:dyDescent="0.15">
      <c r="E65" t="str">
        <f>FHD_NUM_P_29</f>
        <v>2.10</v>
      </c>
      <c r="F65" t="str">
        <f>FHD_P_29</f>
        <v>Расходы на капитальный и текущий ремонт основных средств</v>
      </c>
      <c r="G65" t="s">
        <v>669</v>
      </c>
      <c r="J6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t="str">
        <f t="shared" si="0"/>
        <v>p</v>
      </c>
      <c r="AF65">
        <v>11</v>
      </c>
    </row>
    <row r="66" spans="1:32" ht="11.45" customHeight="1" x14ac:dyDescent="0.15">
      <c r="E66" t="str">
        <f>FHD_NUM_P_30</f>
        <v>2.10.1</v>
      </c>
      <c r="F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t="s">
        <v>424</v>
      </c>
      <c r="H66" t="s">
        <v>692</v>
      </c>
      <c r="I66" t="s">
        <v>692</v>
      </c>
      <c r="J66" t="str">
        <f>FHD_NOTE_P_30</f>
        <v/>
      </c>
      <c r="K66" t="str">
        <f t="shared" si="0"/>
        <v/>
      </c>
      <c r="L66">
        <f>IFERROR(MATCH("есть",B_FHD_FLAG_INDEX_1,0),0)</f>
        <v>0</v>
      </c>
      <c r="AF66">
        <v>11</v>
      </c>
    </row>
    <row r="67" spans="1:32" ht="23.25" customHeight="1" x14ac:dyDescent="0.15">
      <c r="A67" s="1" t="s">
        <v>693</v>
      </c>
      <c r="E67" t="str">
        <f>FHD_NUM_P_31</f>
        <v>2.11</v>
      </c>
      <c r="F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t="s">
        <v>669</v>
      </c>
      <c r="J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t="str">
        <f t="shared" si="0"/>
        <v>p</v>
      </c>
      <c r="AF67">
        <v>22</v>
      </c>
    </row>
    <row r="68" spans="1:32" ht="47.25" customHeight="1" x14ac:dyDescent="0.15">
      <c r="A68" s="1"/>
      <c r="E68" t="str">
        <f>FHD_NUM_P_32</f>
        <v>2.11.1</v>
      </c>
      <c r="F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t="s">
        <v>424</v>
      </c>
      <c r="H68" t="s">
        <v>692</v>
      </c>
      <c r="I68" t="s">
        <v>692</v>
      </c>
      <c r="J68" t="str">
        <f>FHD_NOTE_P_32</f>
        <v/>
      </c>
      <c r="K68" t="str">
        <f t="shared" si="0"/>
        <v/>
      </c>
      <c r="L68">
        <f>IFERROR(MATCH("есть",B_FHD_FLAG_INDEX_2,0),0)</f>
        <v>0</v>
      </c>
      <c r="AF68">
        <v>45</v>
      </c>
    </row>
    <row r="69" spans="1:32" ht="11.45" customHeight="1" x14ac:dyDescent="0.15">
      <c r="E69" t="str">
        <f>FHD_NUM_P_33</f>
        <v>2.12</v>
      </c>
      <c r="F6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t="s">
        <v>669</v>
      </c>
      <c r="H69">
        <f>SUM(H70:H71)</f>
        <v>0</v>
      </c>
      <c r="I69">
        <f>SUM(I70:I71)</f>
        <v>0</v>
      </c>
      <c r="J6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t="str">
        <f t="shared" si="0"/>
        <v>p</v>
      </c>
      <c r="AF69">
        <v>11</v>
      </c>
    </row>
    <row r="70" spans="1:32" ht="1.1499999999999999" customHeight="1" x14ac:dyDescent="0.15">
      <c r="E70" t="str">
        <f>E69&amp;".0"</f>
        <v>2.12.0</v>
      </c>
      <c r="K70" t="str">
        <f t="shared" si="0"/>
        <v/>
      </c>
      <c r="AF70">
        <v>1</v>
      </c>
    </row>
    <row r="71" spans="1:32" ht="14.65" customHeight="1" x14ac:dyDescent="0.15">
      <c r="F71" t="s">
        <v>694</v>
      </c>
      <c r="AF71">
        <v>14</v>
      </c>
    </row>
    <row r="72" spans="1:32" ht="18.75" hidden="1" customHeight="1" x14ac:dyDescent="0.15">
      <c r="A72" t="s">
        <v>695</v>
      </c>
      <c r="E72" t="str">
        <f>FHD_NUM_P_34</f>
        <v/>
      </c>
      <c r="F72" t="str">
        <f>FHD_P_34</f>
        <v/>
      </c>
      <c r="G72" t="s">
        <v>669</v>
      </c>
      <c r="J72" t="str">
        <f>FHD_NOTE_P_34</f>
        <v/>
      </c>
      <c r="AF72">
        <v>0</v>
      </c>
    </row>
    <row r="73" spans="1:32" ht="19.899999999999999" customHeight="1" x14ac:dyDescent="0.15">
      <c r="E73" t="str">
        <f>FHD_NUM_P_35</f>
        <v>3</v>
      </c>
      <c r="F73" t="str">
        <f>FHD_P_35</f>
        <v>Чистая прибыль, полученная от регулируемого вида деятельности в сфере водоотведения, в том числе:</v>
      </c>
      <c r="G73" t="s">
        <v>669</v>
      </c>
      <c r="J73" t="str">
        <f>FHD_NOTE_P_35</f>
        <v>Указывается общая сумма чистой прибыли, полученной от регулируемого вида деятельности.</v>
      </c>
      <c r="AF73">
        <v>19</v>
      </c>
    </row>
    <row r="74" spans="1:32" ht="19.899999999999999" customHeight="1" x14ac:dyDescent="0.15">
      <c r="E74" t="str">
        <f>FHD_NUM_P_36</f>
        <v>3.1</v>
      </c>
      <c r="F7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t="s">
        <v>669</v>
      </c>
      <c r="J74" t="str">
        <f>FHD_NOTE_P_36</f>
        <v/>
      </c>
      <c r="AF74">
        <v>19</v>
      </c>
    </row>
    <row r="75" spans="1:32" ht="19.899999999999999" customHeight="1" x14ac:dyDescent="0.15">
      <c r="E75" t="str">
        <f>FHD_NUM_P_37</f>
        <v>4</v>
      </c>
      <c r="F75" t="str">
        <f>FHD_P_37</f>
        <v>Изменение стоимости основных фондов, в том числе:</v>
      </c>
      <c r="G75" t="s">
        <v>669</v>
      </c>
      <c r="J75" t="str">
        <f>FHD_NOTE_P_37</f>
        <v>Указывается общее изменение стоимости основных фондов.</v>
      </c>
      <c r="AF75">
        <v>19</v>
      </c>
    </row>
    <row r="76" spans="1:32" ht="19.899999999999999" customHeight="1" x14ac:dyDescent="0.15">
      <c r="E76" t="str">
        <f>FHD_NUM_P_38</f>
        <v>4.1</v>
      </c>
      <c r="F76" t="str">
        <f>FHD_P_38</f>
        <v>Изменение стоимости основных фондов за счет их ввода в эксплуатацию (вывода из эксплуатации)</v>
      </c>
      <c r="G76" t="s">
        <v>669</v>
      </c>
      <c r="J76" t="str">
        <f>FHD_NOTE_P_38</f>
        <v>Указываются общее изменение стоимости основных фондов за счет их ввода в эксплуатацию и вывода из эксплуатации.</v>
      </c>
      <c r="AF76">
        <v>19</v>
      </c>
    </row>
    <row r="77" spans="1:32" ht="19.899999999999999" customHeight="1" x14ac:dyDescent="0.15">
      <c r="E77" t="str">
        <f>FHD_NUM_P_39</f>
        <v>4.1.1</v>
      </c>
      <c r="F77" t="str">
        <f>FHD_P_39</f>
        <v>Изменение стоимости основных фондов за счет их ввода в эксплуатацию</v>
      </c>
      <c r="G77" t="s">
        <v>669</v>
      </c>
      <c r="J77" t="str">
        <f>FHD_NOTE_P_39</f>
        <v>Указываются изменение стоимости основных фондов за счет их ввода в эксплуатацию.</v>
      </c>
      <c r="AF77">
        <v>19</v>
      </c>
    </row>
    <row r="78" spans="1:32" ht="19.899999999999999" customHeight="1" x14ac:dyDescent="0.15">
      <c r="E78" t="str">
        <f>FHD_NUM_P_40</f>
        <v>4.1.2</v>
      </c>
      <c r="F78" t="str">
        <f>FHD_P_40</f>
        <v>Изменение стоимости основных фондов за счет их вывода в эксплуатацию</v>
      </c>
      <c r="G78" t="s">
        <v>669</v>
      </c>
      <c r="J78" t="str">
        <f>FHD_NOTE_P_40</f>
        <v>Указываются изменение стоимости основных фондов за счет их вывода из эксплуатации.</v>
      </c>
      <c r="AF78">
        <v>19</v>
      </c>
    </row>
    <row r="79" spans="1:32" ht="19.899999999999999" customHeight="1" x14ac:dyDescent="0.15">
      <c r="E79" t="str">
        <f>FHD_NUM_P_41</f>
        <v>4.2</v>
      </c>
      <c r="F79" t="str">
        <f>FHD_P_41</f>
        <v>Изменение стоимости основных фондов за счет их переоценки</v>
      </c>
      <c r="G79" t="s">
        <v>669</v>
      </c>
      <c r="J79" t="str">
        <f>FHD_NOTE_P_41</f>
        <v/>
      </c>
      <c r="AF79">
        <v>19</v>
      </c>
    </row>
    <row r="80" spans="1:32" ht="19.899999999999999" customHeight="1" x14ac:dyDescent="0.15">
      <c r="A80" t="s">
        <v>696</v>
      </c>
      <c r="E80" t="str">
        <f>FHD_NUM_P_42</f>
        <v>5</v>
      </c>
      <c r="F80" t="str">
        <f>FHD_P_42</f>
        <v>Валовая прибыль (убытки) от продажи товаров и услуг по регулируемым видам деятельности в сфере водоотведения</v>
      </c>
      <c r="G80" t="s">
        <v>669</v>
      </c>
      <c r="J80" t="str">
        <f>FHD_NOTE_P_42</f>
        <v/>
      </c>
      <c r="AF80">
        <v>19</v>
      </c>
    </row>
    <row r="81" spans="1:32" ht="19.899999999999999" customHeight="1" x14ac:dyDescent="0.15">
      <c r="E81" t="str">
        <f>FHD_NUM_P_43</f>
        <v>6</v>
      </c>
      <c r="F81" t="str">
        <f>FHD_P_43</f>
        <v>Годовая бухгалтерская (финансовая) отчетность, включая бухгалтерский баланс и приложения к нему</v>
      </c>
      <c r="G81" t="s">
        <v>424</v>
      </c>
      <c r="J8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v>19</v>
      </c>
    </row>
    <row r="82" spans="1:32" ht="18.75" hidden="1" customHeight="1" x14ac:dyDescent="0.15">
      <c r="A82" s="1" t="s">
        <v>697</v>
      </c>
      <c r="E82" t="str">
        <f>FHD_NUM_P_44</f>
        <v/>
      </c>
      <c r="F82" t="str">
        <f>FHD_P_44</f>
        <v/>
      </c>
      <c r="G82" t="s">
        <v>698</v>
      </c>
      <c r="J82" t="str">
        <f>FHD_NOTE_P_44</f>
        <v/>
      </c>
      <c r="AF82">
        <v>0</v>
      </c>
    </row>
    <row r="83" spans="1:32" ht="18.75" hidden="1" customHeight="1" x14ac:dyDescent="0.15">
      <c r="A83" s="1"/>
      <c r="E83" t="str">
        <f>FHD_NUM_P_45</f>
        <v/>
      </c>
      <c r="F83" t="str">
        <f>FHD_P_45</f>
        <v/>
      </c>
      <c r="G83" t="s">
        <v>698</v>
      </c>
      <c r="J83" t="str">
        <f>FHD_NOTE_P_45</f>
        <v/>
      </c>
      <c r="AF83">
        <v>0</v>
      </c>
    </row>
    <row r="84" spans="1:32" ht="18.75" hidden="1" customHeight="1" x14ac:dyDescent="0.15">
      <c r="A84" s="1"/>
      <c r="E84" t="str">
        <f>FHD_NUM_P_46</f>
        <v/>
      </c>
      <c r="F84" t="str">
        <f>FHD_P_46</f>
        <v/>
      </c>
      <c r="G84" t="s">
        <v>698</v>
      </c>
      <c r="J84" t="str">
        <f>FHD_NOTE_P_46</f>
        <v/>
      </c>
      <c r="AF84">
        <v>0</v>
      </c>
    </row>
    <row r="85" spans="1:32" ht="18.75" hidden="1" customHeight="1" x14ac:dyDescent="0.15">
      <c r="A85" s="1"/>
      <c r="E85" t="str">
        <f>FHD_NUM_P_47</f>
        <v/>
      </c>
      <c r="F85" t="str">
        <f>FHD_P_47</f>
        <v/>
      </c>
      <c r="G85" t="s">
        <v>698</v>
      </c>
      <c r="J85" t="str">
        <f>FHD_NOTE_P_47</f>
        <v/>
      </c>
      <c r="AF85">
        <v>0</v>
      </c>
    </row>
    <row r="86" spans="1:32" ht="18.75" hidden="1" customHeight="1" x14ac:dyDescent="0.15">
      <c r="A86" s="1"/>
      <c r="E86" t="str">
        <f>FHD_NUM_P_48</f>
        <v/>
      </c>
      <c r="F86" t="str">
        <f>FHD_P_48</f>
        <v/>
      </c>
      <c r="G86" t="s">
        <v>698</v>
      </c>
      <c r="J86" t="str">
        <f>FHD_NOTE_P_48</f>
        <v/>
      </c>
      <c r="AF86">
        <v>0</v>
      </c>
    </row>
    <row r="87" spans="1:32" ht="18.75" hidden="1" customHeight="1" x14ac:dyDescent="0.15">
      <c r="A87" s="1"/>
      <c r="E87" t="str">
        <f>FHD_NUM_P_49</f>
        <v/>
      </c>
      <c r="F87" t="str">
        <f>FHD_P_49</f>
        <v/>
      </c>
      <c r="G87" t="s">
        <v>698</v>
      </c>
      <c r="H87">
        <f>SUM(H88:H89)</f>
        <v>0</v>
      </c>
      <c r="I87">
        <f>SUM(I88:I89)</f>
        <v>0</v>
      </c>
      <c r="J87" t="str">
        <f>FHD_NOTE_P_49</f>
        <v/>
      </c>
      <c r="AF87">
        <v>0</v>
      </c>
    </row>
    <row r="88" spans="1:32" ht="18.75" hidden="1" customHeight="1" x14ac:dyDescent="0.15">
      <c r="A88" s="1"/>
      <c r="E88" t="str">
        <f>FHD_NUM_P_50</f>
        <v/>
      </c>
      <c r="F88" t="str">
        <f>FHD_P_50</f>
        <v/>
      </c>
      <c r="G88" t="s">
        <v>698</v>
      </c>
      <c r="J88" t="str">
        <f>FHD_NOTE_P_50</f>
        <v/>
      </c>
      <c r="AF88">
        <v>0</v>
      </c>
    </row>
    <row r="89" spans="1:32" ht="18.75" hidden="1" customHeight="1" x14ac:dyDescent="0.15">
      <c r="A89" s="1"/>
      <c r="E89" t="str">
        <f>FHD_NUM_P_51</f>
        <v/>
      </c>
      <c r="F89" t="str">
        <f>FHD_P_51</f>
        <v/>
      </c>
      <c r="G89" t="s">
        <v>698</v>
      </c>
      <c r="J89" t="str">
        <f>FHD_NOTE_P_51</f>
        <v/>
      </c>
      <c r="AF89">
        <v>0</v>
      </c>
    </row>
    <row r="90" spans="1:32" ht="18.75" hidden="1" customHeight="1" x14ac:dyDescent="0.15">
      <c r="A90" s="1"/>
      <c r="E90" t="str">
        <f>FHD_NUM_P_52</f>
        <v/>
      </c>
      <c r="F90" t="str">
        <f>FHD_P_52</f>
        <v/>
      </c>
      <c r="G90" t="s">
        <v>675</v>
      </c>
      <c r="J90" t="str">
        <f>FHD_NOTE_P_52</f>
        <v/>
      </c>
      <c r="AF90">
        <v>0</v>
      </c>
    </row>
    <row r="91" spans="1:32" ht="18.75" hidden="1" customHeight="1" x14ac:dyDescent="0.15">
      <c r="A91" s="1" t="s">
        <v>699</v>
      </c>
      <c r="E91" t="str">
        <f>FHD_NUM_P_53</f>
        <v/>
      </c>
      <c r="F91" t="str">
        <f>FHD_P_53</f>
        <v/>
      </c>
      <c r="G91" t="s">
        <v>698</v>
      </c>
      <c r="J91" t="str">
        <f>FHD_NOTE_P_53</f>
        <v/>
      </c>
      <c r="AF91">
        <v>0</v>
      </c>
    </row>
    <row r="92" spans="1:32" ht="18.75" hidden="1" customHeight="1" x14ac:dyDescent="0.15">
      <c r="A92" s="1"/>
      <c r="E92" t="str">
        <f>FHD_NUM_P_54</f>
        <v/>
      </c>
      <c r="F92" t="str">
        <f>FHD_P_54</f>
        <v/>
      </c>
      <c r="G92" t="s">
        <v>698</v>
      </c>
      <c r="J92" t="str">
        <f>FHD_NOTE_P_54</f>
        <v/>
      </c>
      <c r="AF92">
        <v>0</v>
      </c>
    </row>
    <row r="93" spans="1:32" ht="18.75" hidden="1" customHeight="1" x14ac:dyDescent="0.15">
      <c r="A93" s="1"/>
      <c r="E93" t="str">
        <f>FHD_NUM_P_55</f>
        <v/>
      </c>
      <c r="F93" t="str">
        <f>FHD_P_55</f>
        <v/>
      </c>
      <c r="J93" t="str">
        <f>FHD_NOTE_P_55</f>
        <v/>
      </c>
      <c r="AF93">
        <v>0</v>
      </c>
    </row>
    <row r="94" spans="1:32" ht="18.75" hidden="1" customHeight="1" x14ac:dyDescent="0.15">
      <c r="A94" s="1"/>
      <c r="E94" t="str">
        <f>FHD_NUM_P_56</f>
        <v/>
      </c>
      <c r="F94" t="str">
        <f>FHD_P_56</f>
        <v/>
      </c>
      <c r="G94" t="s">
        <v>700</v>
      </c>
      <c r="J94" t="str">
        <f>FHD_NOTE_P_56</f>
        <v/>
      </c>
      <c r="AF94">
        <v>0</v>
      </c>
    </row>
    <row r="95" spans="1:32" ht="18.75" hidden="1" customHeight="1" x14ac:dyDescent="0.15">
      <c r="A95" s="1"/>
      <c r="E95" t="str">
        <f>FHD_NUM_P_57</f>
        <v/>
      </c>
      <c r="F95" t="str">
        <f>FHD_P_57</f>
        <v/>
      </c>
      <c r="G95" t="s">
        <v>675</v>
      </c>
      <c r="J95" t="str">
        <f>FHD_NOTE_P_57</f>
        <v/>
      </c>
      <c r="AF95">
        <v>0</v>
      </c>
    </row>
    <row r="96" spans="1:32" ht="18.75" customHeight="1" x14ac:dyDescent="0.15">
      <c r="A96" s="1" t="s">
        <v>701</v>
      </c>
      <c r="E96" t="str">
        <f>FHD_NUM_P_58</f>
        <v>7</v>
      </c>
      <c r="F96" t="str">
        <f>FHD_P_58</f>
        <v>Объём сточных вод, принятых от потребителей</v>
      </c>
      <c r="G96" t="s">
        <v>698</v>
      </c>
      <c r="J96" t="str">
        <f>FHD_NOTE_P_58</f>
        <v/>
      </c>
      <c r="AF96">
        <v>0</v>
      </c>
    </row>
    <row r="97" spans="1:32" ht="18.75" customHeight="1" x14ac:dyDescent="0.15">
      <c r="A97" s="1"/>
      <c r="E97" t="str">
        <f>FHD_NUM_P_59</f>
        <v>8</v>
      </c>
      <c r="F97" t="str">
        <f>FHD_P_59</f>
        <v>Объём сточных вод, принятых от других регулируемых организаций, осуществляющих водоотведение и (или) очистку сточных вод</v>
      </c>
      <c r="G97" t="s">
        <v>698</v>
      </c>
      <c r="J97" t="str">
        <f>FHD_NOTE_P_59</f>
        <v/>
      </c>
      <c r="AF97">
        <v>0</v>
      </c>
    </row>
    <row r="98" spans="1:32" ht="18.75" customHeight="1" x14ac:dyDescent="0.15">
      <c r="A98" s="1"/>
      <c r="E98" t="str">
        <f>FHD_NUM_P_60</f>
        <v>9</v>
      </c>
      <c r="F98" t="str">
        <f>FHD_P_60</f>
        <v>Объём сточных вод, пропущенных через очистные сооружения</v>
      </c>
      <c r="G98" t="s">
        <v>698</v>
      </c>
      <c r="J98" t="str">
        <f>FHD_NOTE_P_60</f>
        <v/>
      </c>
      <c r="AF98">
        <v>0</v>
      </c>
    </row>
    <row r="99" spans="1:32" ht="18.75" hidden="1" customHeight="1" x14ac:dyDescent="0.15">
      <c r="A99" s="1" t="s">
        <v>702</v>
      </c>
      <c r="E99" t="str">
        <f>FHD_NUM_P_61</f>
        <v/>
      </c>
      <c r="F99" t="str">
        <f>FHD_P_61</f>
        <v/>
      </c>
      <c r="G99" t="s">
        <v>673</v>
      </c>
      <c r="J99" t="str">
        <f>FHD_NOTE_P_61</f>
        <v/>
      </c>
      <c r="AF99">
        <v>0</v>
      </c>
    </row>
    <row r="100" spans="1:32" ht="0.75" hidden="1" customHeight="1" x14ac:dyDescent="0.15">
      <c r="A100" s="1"/>
      <c r="E100" t="str">
        <f>E99&amp;".0"</f>
        <v>.0</v>
      </c>
      <c r="AF100">
        <v>0</v>
      </c>
    </row>
    <row r="101" spans="1:32" ht="15" hidden="1" customHeight="1" x14ac:dyDescent="0.15">
      <c r="A101" s="1"/>
      <c r="F101" t="s">
        <v>703</v>
      </c>
      <c r="J101" t="s">
        <v>704</v>
      </c>
      <c r="AF101">
        <v>0</v>
      </c>
    </row>
    <row r="102" spans="1:32" ht="18.75" hidden="1" customHeight="1" x14ac:dyDescent="0.15">
      <c r="A102" s="1"/>
      <c r="E102" t="str">
        <f>FHD_NUM_P_62</f>
        <v/>
      </c>
      <c r="F102" t="str">
        <f>FHD_P_62</f>
        <v/>
      </c>
      <c r="G102" t="s">
        <v>673</v>
      </c>
      <c r="J102" t="str">
        <f>FHD_NOTE_P_62</f>
        <v/>
      </c>
      <c r="AF102">
        <v>0</v>
      </c>
    </row>
    <row r="103" spans="1:32" ht="18.75" hidden="1" customHeight="1" x14ac:dyDescent="0.15">
      <c r="A103" s="1"/>
      <c r="E103" t="str">
        <f>FHD_NUM_P_63</f>
        <v/>
      </c>
      <c r="F103" t="str">
        <f>FHD_P_63</f>
        <v/>
      </c>
      <c r="G103" t="s">
        <v>700</v>
      </c>
      <c r="J103" t="str">
        <f>FHD_NOTE_P_63</f>
        <v/>
      </c>
      <c r="AF103">
        <v>0</v>
      </c>
    </row>
    <row r="104" spans="1:32" ht="18.75" hidden="1" customHeight="1" x14ac:dyDescent="0.15">
      <c r="A104" s="1"/>
      <c r="C104" t="s">
        <v>705</v>
      </c>
      <c r="E104" t="str">
        <f>FHD_NUM_P_64</f>
        <v/>
      </c>
      <c r="F104" t="str">
        <f>FHD_P_64</f>
        <v/>
      </c>
      <c r="G104" t="s">
        <v>700</v>
      </c>
      <c r="J104" t="str">
        <f>FHD_NOTE_P_64</f>
        <v/>
      </c>
      <c r="AF104">
        <v>0</v>
      </c>
    </row>
    <row r="105" spans="1:32" ht="18.75" hidden="1" customHeight="1" x14ac:dyDescent="0.15">
      <c r="A105" s="1"/>
      <c r="E105" t="str">
        <f>FHD_NUM_P_65</f>
        <v/>
      </c>
      <c r="F105" t="str">
        <f>FHD_P_65</f>
        <v/>
      </c>
      <c r="G105" t="s">
        <v>700</v>
      </c>
      <c r="J105" t="str">
        <f>FHD_NOTE_P_65</f>
        <v/>
      </c>
      <c r="AF105">
        <v>0</v>
      </c>
    </row>
    <row r="106" spans="1:32" ht="18.75" hidden="1" customHeight="1" x14ac:dyDescent="0.15">
      <c r="A106" s="1"/>
      <c r="E106" t="str">
        <f>FHD_NUM_P_66</f>
        <v/>
      </c>
      <c r="F106" t="str">
        <f>FHD_P_66</f>
        <v/>
      </c>
      <c r="G106" t="s">
        <v>700</v>
      </c>
      <c r="J106" t="str">
        <f>FHD_NOTE_P_66</f>
        <v/>
      </c>
      <c r="AF106">
        <v>0</v>
      </c>
    </row>
    <row r="107" spans="1:32" ht="18.75" hidden="1" customHeight="1" x14ac:dyDescent="0.15">
      <c r="A107" s="1"/>
      <c r="E107" t="str">
        <f>FHD_NUM_P_67</f>
        <v/>
      </c>
      <c r="F107" t="str">
        <f>FHD_P_67</f>
        <v/>
      </c>
      <c r="G107" t="s">
        <v>700</v>
      </c>
      <c r="J107" t="str">
        <f>FHD_NOTE_P_67</f>
        <v/>
      </c>
      <c r="AF107">
        <v>0</v>
      </c>
    </row>
    <row r="108" spans="1:32" ht="18.75" hidden="1" customHeight="1" x14ac:dyDescent="0.15">
      <c r="A108" s="1"/>
      <c r="E108" t="str">
        <f>FHD_NUM_P_68</f>
        <v/>
      </c>
      <c r="F108" t="str">
        <f>FHD_P_68</f>
        <v/>
      </c>
      <c r="G108" t="s">
        <v>700</v>
      </c>
      <c r="J108" t="str">
        <f>FHD_NOTE_P_68</f>
        <v/>
      </c>
      <c r="AF108">
        <v>0</v>
      </c>
    </row>
    <row r="109" spans="1:32" ht="18.75" hidden="1" customHeight="1" x14ac:dyDescent="0.15">
      <c r="A109" s="1"/>
      <c r="E109" t="str">
        <f>FHD_NUM_P_69</f>
        <v/>
      </c>
      <c r="F109" t="str">
        <f>FHD_P_69</f>
        <v/>
      </c>
      <c r="G109" t="s">
        <v>700</v>
      </c>
      <c r="J109" t="str">
        <f>FHD_NOTE_P_69</f>
        <v/>
      </c>
      <c r="AF109">
        <v>0</v>
      </c>
    </row>
    <row r="110" spans="1:32" ht="22.5" hidden="1" customHeight="1" x14ac:dyDescent="0.15">
      <c r="A110" s="1"/>
      <c r="E110" t="str">
        <f>FHD_NUM_P_70</f>
        <v/>
      </c>
      <c r="F110" t="str">
        <f>FHD_P_70</f>
        <v/>
      </c>
      <c r="G110" t="s">
        <v>706</v>
      </c>
      <c r="J110" t="str">
        <f>FHD_NOTE_P_70</f>
        <v/>
      </c>
      <c r="AF110">
        <v>0</v>
      </c>
    </row>
    <row r="111" spans="1:32" ht="22.5" hidden="1" customHeight="1" x14ac:dyDescent="0.15">
      <c r="A111" s="1"/>
      <c r="E111" t="str">
        <f>FHD_NUM_P_71</f>
        <v/>
      </c>
      <c r="F111" t="str">
        <f>FHD_P_71</f>
        <v/>
      </c>
      <c r="G111" t="s">
        <v>706</v>
      </c>
      <c r="J111" t="str">
        <f>FHD_NOTE_P_71</f>
        <v/>
      </c>
      <c r="AF111">
        <v>0</v>
      </c>
    </row>
    <row r="112" spans="1:32" ht="19.899999999999999" customHeight="1" x14ac:dyDescent="0.15">
      <c r="E112" t="str">
        <f>FHD_NUM_P_72</f>
        <v>10</v>
      </c>
      <c r="F112" t="str">
        <f>FHD_P_72</f>
        <v>Среднесписочная численность основного производственного персонала</v>
      </c>
      <c r="G112" t="s">
        <v>707</v>
      </c>
      <c r="J112" t="str">
        <f>FHD_NOTE_P_72</f>
        <v/>
      </c>
      <c r="AF112">
        <v>19</v>
      </c>
    </row>
    <row r="113" spans="1:32" ht="18.75" hidden="1" customHeight="1" x14ac:dyDescent="0.15">
      <c r="A113" t="s">
        <v>708</v>
      </c>
      <c r="E113" t="str">
        <f>FHD_NUM_P_73</f>
        <v/>
      </c>
      <c r="F113" t="str">
        <f>FHD_P_73</f>
        <v/>
      </c>
      <c r="G113" t="s">
        <v>707</v>
      </c>
      <c r="J113" t="str">
        <f>FHD_NOTE_P_73</f>
        <v/>
      </c>
      <c r="AF113">
        <v>0</v>
      </c>
    </row>
    <row r="114" spans="1:32" ht="33.75" hidden="1" customHeight="1" x14ac:dyDescent="0.15">
      <c r="A114" t="s">
        <v>709</v>
      </c>
      <c r="E114" t="str">
        <f>FHD_NUM_P_74</f>
        <v/>
      </c>
      <c r="F114" t="str">
        <f>FHD_P_74</f>
        <v/>
      </c>
      <c r="G114" t="s">
        <v>710</v>
      </c>
      <c r="J114" t="str">
        <f>FHD_NOTE_P_74</f>
        <v/>
      </c>
      <c r="AF114">
        <v>0</v>
      </c>
    </row>
    <row r="115" spans="1:32" ht="18.75" hidden="1" customHeight="1" x14ac:dyDescent="0.15">
      <c r="A115" s="1" t="s">
        <v>711</v>
      </c>
      <c r="E115" t="str">
        <f>FHD_NUM_P_75</f>
        <v/>
      </c>
      <c r="F115" t="str">
        <f>FHD_P_75</f>
        <v/>
      </c>
      <c r="G115" t="s">
        <v>675</v>
      </c>
      <c r="J115" t="str">
        <f>FHD_NOTE_P_75</f>
        <v/>
      </c>
      <c r="AF115">
        <v>0</v>
      </c>
    </row>
    <row r="116" spans="1:32" ht="18.75" hidden="1" customHeight="1" x14ac:dyDescent="0.15">
      <c r="A116" s="1"/>
      <c r="E116" t="str">
        <f>FHD_NUM_P_76</f>
        <v/>
      </c>
      <c r="F116" t="str">
        <f>FHD_P_76</f>
        <v/>
      </c>
      <c r="G116" t="s">
        <v>675</v>
      </c>
      <c r="J116" t="str">
        <f>FHD_NOTE_P_76</f>
        <v/>
      </c>
      <c r="AF116">
        <v>0</v>
      </c>
    </row>
    <row r="117" spans="1:32" ht="18.75" hidden="1" customHeight="1" x14ac:dyDescent="0.15">
      <c r="A117" s="1"/>
      <c r="E117" t="str">
        <f>FHD_NUM_P_77</f>
        <v/>
      </c>
      <c r="F117" t="str">
        <f>FHD_P_77</f>
        <v/>
      </c>
      <c r="G117" t="s">
        <v>675</v>
      </c>
      <c r="J117" t="str">
        <f>FHD_NOTE_P_77</f>
        <v/>
      </c>
      <c r="AF117">
        <v>0</v>
      </c>
    </row>
    <row r="118" spans="1:32" ht="0.75" hidden="1" customHeight="1" x14ac:dyDescent="0.15">
      <c r="A118" s="1"/>
      <c r="E118" t="str">
        <f>E117&amp;".0"</f>
        <v>.0</v>
      </c>
      <c r="AF118">
        <v>0</v>
      </c>
    </row>
    <row r="119" spans="1:32" ht="15" hidden="1" customHeight="1" x14ac:dyDescent="0.15">
      <c r="A119" s="1"/>
      <c r="F119" t="s">
        <v>712</v>
      </c>
      <c r="J119" t="s">
        <v>713</v>
      </c>
      <c r="AF119">
        <v>0</v>
      </c>
    </row>
    <row r="120" spans="1:32" ht="22.5" hidden="1" customHeight="1" x14ac:dyDescent="0.15">
      <c r="A120" s="1" t="s">
        <v>714</v>
      </c>
      <c r="E120" t="str">
        <f>FHD_NUM_P_78</f>
        <v/>
      </c>
      <c r="F120" t="str">
        <f>FHD_P_78</f>
        <v/>
      </c>
      <c r="G120" t="s">
        <v>677</v>
      </c>
      <c r="J120" t="str">
        <f>FHD_NOTE_P_78</f>
        <v/>
      </c>
      <c r="AF120">
        <v>0</v>
      </c>
    </row>
    <row r="121" spans="1:32" ht="0.75" hidden="1" customHeight="1" x14ac:dyDescent="0.15">
      <c r="A121" s="1"/>
      <c r="E121" t="str">
        <f>E120&amp;".0"</f>
        <v>.0</v>
      </c>
      <c r="AF121">
        <v>0</v>
      </c>
    </row>
    <row r="122" spans="1:32" ht="15" hidden="1" customHeight="1" x14ac:dyDescent="0.15">
      <c r="A122" s="1"/>
      <c r="F122" t="s">
        <v>703</v>
      </c>
      <c r="J122" t="s">
        <v>715</v>
      </c>
      <c r="AF122">
        <v>0</v>
      </c>
    </row>
    <row r="123" spans="1:32" ht="22.5" hidden="1" customHeight="1" x14ac:dyDescent="0.15">
      <c r="A123" s="1"/>
      <c r="E123" t="str">
        <f>FHD_NUM_P_79</f>
        <v/>
      </c>
      <c r="F123" t="str">
        <f>FHD_P_79</f>
        <v/>
      </c>
      <c r="G123" t="s">
        <v>679</v>
      </c>
      <c r="J123" t="str">
        <f>FHD_NOTE_P_79</f>
        <v/>
      </c>
      <c r="AF123">
        <v>0</v>
      </c>
    </row>
    <row r="124" spans="1:32" ht="0.75" hidden="1" customHeight="1" x14ac:dyDescent="0.15">
      <c r="A124" s="1"/>
      <c r="E124" t="str">
        <f>E123&amp;".0"</f>
        <v>.0</v>
      </c>
      <c r="AF124">
        <v>0</v>
      </c>
    </row>
    <row r="125" spans="1:32" ht="15" hidden="1" customHeight="1" x14ac:dyDescent="0.15">
      <c r="A125" s="1"/>
      <c r="F125" t="s">
        <v>703</v>
      </c>
      <c r="J125" t="s">
        <v>716</v>
      </c>
      <c r="AF125">
        <v>0</v>
      </c>
    </row>
    <row r="126" spans="1:32" ht="22.5" hidden="1" customHeight="1" x14ac:dyDescent="0.15">
      <c r="A126" s="1"/>
      <c r="E126" t="str">
        <f>FHD_NUM_P_80</f>
        <v/>
      </c>
      <c r="F126" t="str">
        <f>FHD_P_80</f>
        <v/>
      </c>
      <c r="G126" t="s">
        <v>717</v>
      </c>
      <c r="J126" t="str">
        <f>FHD_NOTE_P_80</f>
        <v/>
      </c>
      <c r="AF126">
        <v>0</v>
      </c>
    </row>
    <row r="127" spans="1:32" ht="18.75" hidden="1" customHeight="1" x14ac:dyDescent="0.15">
      <c r="A127" s="1"/>
      <c r="E127" t="str">
        <f>FHD_NUM_P_81</f>
        <v/>
      </c>
      <c r="F127" t="str">
        <f>FHD_P_81</f>
        <v/>
      </c>
      <c r="G127" t="s">
        <v>718</v>
      </c>
      <c r="J127" t="str">
        <f>FHD_NOTE_P_81</f>
        <v/>
      </c>
      <c r="AF127">
        <v>0</v>
      </c>
    </row>
    <row r="128" spans="1:32" ht="18.75" hidden="1" customHeight="1" x14ac:dyDescent="0.15">
      <c r="A128" s="1"/>
      <c r="C128" t="s">
        <v>705</v>
      </c>
      <c r="E128" t="str">
        <f>FHD_NUM_P_82</f>
        <v/>
      </c>
      <c r="F128" t="str">
        <f>FHD_P_82</f>
        <v/>
      </c>
      <c r="G128" t="s">
        <v>424</v>
      </c>
      <c r="J128" t="str">
        <f>FHD_NOTE_P_82</f>
        <v/>
      </c>
      <c r="AF128">
        <v>0</v>
      </c>
    </row>
    <row r="129" spans="1:32" ht="18.75" hidden="1" customHeight="1" x14ac:dyDescent="0.15">
      <c r="A129" s="1"/>
      <c r="C129" t="s">
        <v>705</v>
      </c>
      <c r="E129" t="str">
        <f>FHD_NUM_P_83</f>
        <v/>
      </c>
      <c r="F129" t="str">
        <f>FHD_P_83</f>
        <v/>
      </c>
      <c r="G129" t="s">
        <v>424</v>
      </c>
      <c r="J129" t="str">
        <f>FHD_NOTE_P_83</f>
        <v/>
      </c>
      <c r="AF129">
        <v>0</v>
      </c>
    </row>
    <row r="130" spans="1:32" ht="18.75" hidden="1" customHeight="1" x14ac:dyDescent="0.15">
      <c r="A130" s="1"/>
      <c r="C130" t="s">
        <v>705</v>
      </c>
      <c r="E130" t="str">
        <f>FHD_NUM_P_84</f>
        <v/>
      </c>
      <c r="F130" t="str">
        <f>FHD_P_84</f>
        <v/>
      </c>
      <c r="G130" t="s">
        <v>424</v>
      </c>
      <c r="J130" t="str">
        <f>FHD_NOTE_P_84</f>
        <v/>
      </c>
      <c r="AF130">
        <v>0</v>
      </c>
    </row>
    <row r="131" spans="1:32" ht="11.45" customHeight="1" x14ac:dyDescent="0.15">
      <c r="AF131">
        <v>11</v>
      </c>
    </row>
    <row r="132" spans="1:32" ht="13.5" customHeight="1" x14ac:dyDescent="0.15">
      <c r="AF132">
        <v>13</v>
      </c>
    </row>
    <row r="133" spans="1:32" ht="11.45" customHeight="1" x14ac:dyDescent="0.15">
      <c r="AF133">
        <v>11</v>
      </c>
    </row>
    <row r="134" spans="1:32" ht="11.45" customHeight="1" x14ac:dyDescent="0.15">
      <c r="AF134">
        <v>11</v>
      </c>
    </row>
    <row r="135" spans="1:32" ht="11.45" customHeight="1" x14ac:dyDescent="0.15">
      <c r="AF135">
        <v>11</v>
      </c>
    </row>
    <row r="136" spans="1:32" ht="11.45" customHeight="1" x14ac:dyDescent="0.15">
      <c r="H136" t="str">
        <f>IF(H30-H31&lt;&gt;H72,"WARNING","")</f>
        <v/>
      </c>
      <c r="I136" t="str">
        <f>IF(I30-I31&lt;&gt;I72,"WARNING","")</f>
        <v/>
      </c>
      <c r="AF136">
        <v>11</v>
      </c>
    </row>
    <row r="137" spans="1:32" ht="11.45" customHeight="1" x14ac:dyDescent="0.15">
      <c r="AF137">
        <v>11</v>
      </c>
    </row>
    <row r="138" spans="1:32" ht="11.45" customHeight="1" x14ac:dyDescent="0.15">
      <c r="AF138">
        <v>11</v>
      </c>
    </row>
    <row r="139" spans="1:32" ht="11.45" customHeight="1" x14ac:dyDescent="0.15">
      <c r="AF139">
        <v>11</v>
      </c>
    </row>
    <row r="140" spans="1:32" ht="11.45" customHeight="1" x14ac:dyDescent="0.15">
      <c r="AF140">
        <v>11</v>
      </c>
    </row>
    <row r="141" spans="1:32" ht="11.45" customHeight="1" x14ac:dyDescent="0.15">
      <c r="AF141">
        <v>11</v>
      </c>
    </row>
    <row r="142" spans="1:32" ht="11.45" customHeight="1" x14ac:dyDescent="0.15">
      <c r="AF142">
        <v>11</v>
      </c>
    </row>
    <row r="143" spans="1:32" ht="11.45" customHeight="1" x14ac:dyDescent="0.15">
      <c r="AF143">
        <v>11</v>
      </c>
    </row>
    <row r="144" spans="1: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32:32" ht="11.45" customHeight="1" x14ac:dyDescent="0.15">
      <c r="AF209">
        <v>11</v>
      </c>
    </row>
    <row r="210" spans="32:32" ht="11.45" customHeight="1" x14ac:dyDescent="0.15">
      <c r="AF210">
        <v>11</v>
      </c>
    </row>
    <row r="211" spans="32:32" ht="11.45" customHeight="1" x14ac:dyDescent="0.15">
      <c r="AF211">
        <v>11</v>
      </c>
    </row>
    <row r="212" spans="32:32" ht="11.45" customHeight="1" x14ac:dyDescent="0.15">
      <c r="AF212">
        <v>11</v>
      </c>
    </row>
    <row r="213" spans="32:32" ht="11.45" customHeight="1" x14ac:dyDescent="0.15">
      <c r="AF213">
        <v>11</v>
      </c>
    </row>
    <row r="214" spans="32:32" ht="11.45" customHeight="1" x14ac:dyDescent="0.15">
      <c r="AF214">
        <v>11</v>
      </c>
    </row>
    <row r="215" spans="32:32" ht="11.45" customHeight="1" x14ac:dyDescent="0.15">
      <c r="AF215">
        <v>11</v>
      </c>
    </row>
    <row r="216" spans="32:32" ht="11.45" customHeight="1" x14ac:dyDescent="0.15">
      <c r="AF216">
        <v>11</v>
      </c>
    </row>
    <row r="217" spans="32:32" ht="11.45" customHeight="1" x14ac:dyDescent="0.15">
      <c r="AF217">
        <v>11</v>
      </c>
    </row>
    <row r="218" spans="32:32" ht="11.45" customHeight="1" x14ac:dyDescent="0.15">
      <c r="AF218">
        <v>11</v>
      </c>
    </row>
    <row r="219" spans="32:32" ht="11.45" customHeight="1" x14ac:dyDescent="0.15">
      <c r="AF219">
        <v>11</v>
      </c>
    </row>
    <row r="220" spans="32:32" ht="11.45" customHeight="1" x14ac:dyDescent="0.15">
      <c r="AF220">
        <v>11</v>
      </c>
    </row>
    <row r="221" spans="32:32" ht="11.45" customHeight="1" x14ac:dyDescent="0.15">
      <c r="AF221">
        <v>11</v>
      </c>
    </row>
    <row r="222" spans="32:32" ht="11.45" customHeight="1" x14ac:dyDescent="0.15">
      <c r="AF222">
        <v>11</v>
      </c>
    </row>
    <row r="223" spans="32:32" ht="11.45" customHeight="1" x14ac:dyDescent="0.15">
      <c r="AF223">
        <v>11</v>
      </c>
    </row>
    <row r="224" spans="32:32" ht="11.45" customHeight="1" x14ac:dyDescent="0.15">
      <c r="AF224">
        <v>11</v>
      </c>
    </row>
    <row r="225" spans="32:32" ht="11.45" customHeight="1" x14ac:dyDescent="0.15">
      <c r="AF225">
        <v>11</v>
      </c>
    </row>
    <row r="226" spans="32:32" ht="11.45" customHeight="1" x14ac:dyDescent="0.15">
      <c r="AF226">
        <v>11</v>
      </c>
    </row>
    <row r="227" spans="32:32" ht="11.45" customHeight="1" x14ac:dyDescent="0.15">
      <c r="AF227">
        <v>11</v>
      </c>
    </row>
    <row r="228" spans="32:32" ht="11.45" customHeight="1" x14ac:dyDescent="0.15">
      <c r="AF228">
        <v>11</v>
      </c>
    </row>
    <row r="229" spans="32:32" ht="11.45" customHeight="1" x14ac:dyDescent="0.15">
      <c r="AF229">
        <v>11</v>
      </c>
    </row>
    <row r="230" spans="32:32" ht="11.45" customHeight="1" x14ac:dyDescent="0.15">
      <c r="AF230">
        <v>11</v>
      </c>
    </row>
    <row r="231" spans="32:32" ht="11.45" customHeight="1" x14ac:dyDescent="0.15">
      <c r="AF231">
        <v>11</v>
      </c>
    </row>
    <row r="232" spans="32:32" ht="11.45" customHeight="1" x14ac:dyDescent="0.15">
      <c r="AF232">
        <v>11</v>
      </c>
    </row>
    <row r="233" spans="32:32" ht="11.45" customHeight="1" x14ac:dyDescent="0.15">
      <c r="AF233">
        <v>11</v>
      </c>
    </row>
    <row r="234" spans="32:32" ht="11.45" customHeight="1" x14ac:dyDescent="0.15">
      <c r="AF234">
        <v>11</v>
      </c>
    </row>
    <row r="235" spans="32:32" ht="11.45" customHeight="1" x14ac:dyDescent="0.15">
      <c r="AF235">
        <v>11</v>
      </c>
    </row>
    <row r="236" spans="32:32" ht="11.45" customHeight="1" x14ac:dyDescent="0.15">
      <c r="AF236">
        <v>11</v>
      </c>
    </row>
    <row r="237" spans="32:32" ht="11.45" customHeight="1" x14ac:dyDescent="0.15">
      <c r="AF237">
        <v>11</v>
      </c>
    </row>
    <row r="238" spans="32:32" ht="11.45" customHeight="1" x14ac:dyDescent="0.15">
      <c r="AF238">
        <v>11</v>
      </c>
    </row>
    <row r="239" spans="32:32" ht="11.45" customHeight="1" x14ac:dyDescent="0.15">
      <c r="AF239">
        <v>11</v>
      </c>
    </row>
    <row r="240" spans="32:32" ht="11.45" customHeight="1" x14ac:dyDescent="0.15">
      <c r="AF240">
        <v>11</v>
      </c>
    </row>
    <row r="241" spans="32:32" ht="11.45" customHeight="1" x14ac:dyDescent="0.15">
      <c r="AF241">
        <v>11</v>
      </c>
    </row>
    <row r="242" spans="32:32" ht="11.45" customHeight="1" x14ac:dyDescent="0.15">
      <c r="AF242">
        <v>11</v>
      </c>
    </row>
    <row r="243" spans="32:32" ht="11.45" customHeight="1" x14ac:dyDescent="0.15">
      <c r="AF243">
        <v>11</v>
      </c>
    </row>
    <row r="244" spans="32:32" ht="11.45" customHeight="1" x14ac:dyDescent="0.15">
      <c r="AF244">
        <v>11</v>
      </c>
    </row>
    <row r="245" spans="32:32" ht="11.45" customHeight="1" x14ac:dyDescent="0.15">
      <c r="AF245">
        <v>11</v>
      </c>
    </row>
    <row r="246" spans="32:32" ht="11.45" customHeight="1" x14ac:dyDescent="0.15">
      <c r="AF246">
        <v>11</v>
      </c>
    </row>
    <row r="247" spans="32:32" ht="11.45" customHeight="1" x14ac:dyDescent="0.15">
      <c r="AF247">
        <v>11</v>
      </c>
    </row>
    <row r="248" spans="32:32" ht="11.45" customHeight="1" x14ac:dyDescent="0.15">
      <c r="AF248">
        <v>11</v>
      </c>
    </row>
    <row r="249" spans="32:32" ht="11.45" customHeight="1" x14ac:dyDescent="0.15">
      <c r="AF249">
        <v>11</v>
      </c>
    </row>
    <row r="250" spans="32:32" ht="11.45" customHeight="1" x14ac:dyDescent="0.15">
      <c r="AF250">
        <v>11</v>
      </c>
    </row>
    <row r="251" spans="32:32" ht="11.45" customHeight="1" x14ac:dyDescent="0.15">
      <c r="AF251">
        <v>11</v>
      </c>
    </row>
    <row r="252" spans="32:32" ht="11.45" customHeight="1" x14ac:dyDescent="0.15">
      <c r="AF252">
        <v>11</v>
      </c>
    </row>
    <row r="253" spans="32:32" ht="11.45" customHeight="1" x14ac:dyDescent="0.15">
      <c r="AF253">
        <v>11</v>
      </c>
    </row>
    <row r="254" spans="32:32" ht="11.45" customHeight="1" x14ac:dyDescent="0.15">
      <c r="AF254">
        <v>11</v>
      </c>
    </row>
    <row r="255" spans="32:32" ht="11.45" customHeight="1" x14ac:dyDescent="0.15">
      <c r="AF255">
        <v>11</v>
      </c>
    </row>
    <row r="256" spans="32:32" ht="11.45" customHeight="1" x14ac:dyDescent="0.15">
      <c r="AF256">
        <v>11</v>
      </c>
    </row>
    <row r="257" spans="32:32" ht="11.45" customHeight="1" x14ac:dyDescent="0.15">
      <c r="AF257">
        <v>11</v>
      </c>
    </row>
    <row r="258" spans="32:32" ht="11.45" customHeight="1" x14ac:dyDescent="0.15">
      <c r="AF258">
        <v>11</v>
      </c>
    </row>
    <row r="259" spans="32:32" ht="11.45" customHeight="1" x14ac:dyDescent="0.15">
      <c r="AF259">
        <v>11</v>
      </c>
    </row>
    <row r="260" spans="32:32" ht="11.45" customHeight="1" x14ac:dyDescent="0.15">
      <c r="AF260">
        <v>11</v>
      </c>
    </row>
    <row r="261" spans="32:32" ht="11.45" customHeight="1" x14ac:dyDescent="0.15">
      <c r="AF261">
        <v>11</v>
      </c>
    </row>
    <row r="262" spans="32:32" ht="11.45" customHeight="1" x14ac:dyDescent="0.15">
      <c r="AF262">
        <v>11</v>
      </c>
    </row>
    <row r="263" spans="32:32" ht="11.45" customHeight="1" x14ac:dyDescent="0.15">
      <c r="AF263">
        <v>11</v>
      </c>
    </row>
    <row r="264" spans="32:32" ht="11.45" customHeight="1" x14ac:dyDescent="0.15">
      <c r="AF264">
        <v>11</v>
      </c>
    </row>
    <row r="265" spans="32:32" ht="11.45" customHeight="1" x14ac:dyDescent="0.15">
      <c r="AF265">
        <v>11</v>
      </c>
    </row>
    <row r="266" spans="32:32" ht="11.45" customHeight="1" x14ac:dyDescent="0.15">
      <c r="AF266">
        <v>11</v>
      </c>
    </row>
    <row r="267" spans="32:32" ht="11.45" customHeight="1" x14ac:dyDescent="0.15">
      <c r="AF267">
        <v>11</v>
      </c>
    </row>
    <row r="268" spans="32:32" ht="11.45" customHeight="1" x14ac:dyDescent="0.15">
      <c r="AF268">
        <v>11</v>
      </c>
    </row>
    <row r="269" spans="32:32" ht="11.45" customHeight="1" x14ac:dyDescent="0.15">
      <c r="AF269">
        <v>11</v>
      </c>
    </row>
    <row r="270" spans="32:32" ht="11.45" customHeight="1" x14ac:dyDescent="0.15">
      <c r="AF270">
        <v>11</v>
      </c>
    </row>
    <row r="271" spans="32:32" ht="11.45" customHeight="1" x14ac:dyDescent="0.15">
      <c r="AF271">
        <v>11</v>
      </c>
    </row>
    <row r="272" spans="32:32" ht="11.45" customHeight="1" x14ac:dyDescent="0.15">
      <c r="AF272">
        <v>11</v>
      </c>
    </row>
    <row r="273" spans="32:32" ht="11.45" customHeight="1" x14ac:dyDescent="0.15">
      <c r="AF273">
        <v>11</v>
      </c>
    </row>
    <row r="274" spans="32:32" ht="11.45" customHeight="1" x14ac:dyDescent="0.15">
      <c r="AF274">
        <v>11</v>
      </c>
    </row>
    <row r="275" spans="32:32" ht="11.45" customHeight="1" x14ac:dyDescent="0.15">
      <c r="AF275">
        <v>11</v>
      </c>
    </row>
    <row r="276" spans="32:32" ht="11.45" customHeight="1" x14ac:dyDescent="0.15">
      <c r="AF276">
        <v>11</v>
      </c>
    </row>
    <row r="277" spans="32:32" ht="11.45" customHeight="1" x14ac:dyDescent="0.15">
      <c r="AF277">
        <v>11</v>
      </c>
    </row>
    <row r="278" spans="32:32" ht="11.45" customHeight="1" x14ac:dyDescent="0.15">
      <c r="AF278">
        <v>11</v>
      </c>
    </row>
    <row r="279" spans="32:32" ht="11.45" customHeight="1" x14ac:dyDescent="0.15">
      <c r="AF279">
        <v>11</v>
      </c>
    </row>
    <row r="280" spans="32:32" ht="11.45" customHeight="1" x14ac:dyDescent="0.15">
      <c r="AF280">
        <v>11</v>
      </c>
    </row>
    <row r="281" spans="32:32" ht="11.45" customHeight="1" x14ac:dyDescent="0.15">
      <c r="AF281">
        <v>11</v>
      </c>
    </row>
    <row r="282" spans="32:32" ht="11.45" customHeight="1" x14ac:dyDescent="0.15">
      <c r="AF282">
        <v>11</v>
      </c>
    </row>
    <row r="283" spans="32:32" ht="11.45" customHeight="1" x14ac:dyDescent="0.15">
      <c r="AF283">
        <v>11</v>
      </c>
    </row>
    <row r="284" spans="32:32" ht="11.45" customHeight="1" x14ac:dyDescent="0.15">
      <c r="AF284">
        <v>11</v>
      </c>
    </row>
    <row r="285" spans="32:32" ht="11.45" customHeight="1" x14ac:dyDescent="0.15">
      <c r="AF285">
        <v>11</v>
      </c>
    </row>
    <row r="286" spans="32:32" ht="11.45" customHeight="1" x14ac:dyDescent="0.15">
      <c r="AF286">
        <v>11</v>
      </c>
    </row>
    <row r="287" spans="32:32" ht="11.45" customHeight="1" x14ac:dyDescent="0.15">
      <c r="AF287">
        <v>11</v>
      </c>
    </row>
    <row r="288" spans="32:32" ht="11.45" customHeight="1" x14ac:dyDescent="0.15">
      <c r="AF288">
        <v>11</v>
      </c>
    </row>
    <row r="289" spans="1:32" ht="11.45" customHeight="1" x14ac:dyDescent="0.15">
      <c r="AF289">
        <v>11</v>
      </c>
    </row>
    <row r="290" spans="1:32" ht="11.45" customHeight="1" x14ac:dyDescent="0.15">
      <c r="AF290">
        <v>11</v>
      </c>
    </row>
    <row r="291" spans="1:32" ht="11.45" customHeight="1" x14ac:dyDescent="0.15">
      <c r="AF291">
        <v>11</v>
      </c>
    </row>
    <row r="292" spans="1:32" ht="11.45" customHeight="1" x14ac:dyDescent="0.15">
      <c r="AF292">
        <v>11</v>
      </c>
    </row>
    <row r="293" spans="1:32" ht="11.45" customHeight="1" x14ac:dyDescent="0.15">
      <c r="AF293">
        <v>11</v>
      </c>
    </row>
    <row r="294" spans="1:32" ht="11.45" customHeight="1" x14ac:dyDescent="0.15">
      <c r="AF294">
        <v>11</v>
      </c>
    </row>
    <row r="295" spans="1:32" ht="11.45" customHeight="1" x14ac:dyDescent="0.15">
      <c r="AF295">
        <v>11</v>
      </c>
    </row>
    <row r="296" spans="1:32" ht="11.45" customHeight="1" x14ac:dyDescent="0.15">
      <c r="AF296">
        <v>11</v>
      </c>
    </row>
    <row r="297" spans="1:32" ht="11.45" customHeight="1" x14ac:dyDescent="0.15">
      <c r="AF297">
        <v>11</v>
      </c>
    </row>
    <row r="298" spans="1:32" ht="11.45" customHeight="1" x14ac:dyDescent="0.15">
      <c r="AF298">
        <v>11</v>
      </c>
    </row>
    <row r="299" spans="1:32" ht="11.45" customHeight="1" x14ac:dyDescent="0.15">
      <c r="AF299">
        <v>11</v>
      </c>
    </row>
    <row r="300" spans="1:32" ht="11.45" customHeight="1" x14ac:dyDescent="0.15">
      <c r="AF300">
        <v>11</v>
      </c>
    </row>
    <row r="301" spans="1:32" ht="11.45" customHeight="1" x14ac:dyDescent="0.15">
      <c r="AF301">
        <v>11</v>
      </c>
    </row>
    <row r="302" spans="1:32" ht="11.45" customHeight="1" x14ac:dyDescent="0.15">
      <c r="AF302">
        <v>11</v>
      </c>
    </row>
    <row r="303" spans="1:32" ht="11.25" hidden="1" customHeight="1" x14ac:dyDescent="0.15">
      <c r="A303" t="s">
        <v>84</v>
      </c>
      <c r="B303">
        <v>0</v>
      </c>
      <c r="C303">
        <v>0</v>
      </c>
      <c r="D303">
        <v>3</v>
      </c>
      <c r="E303">
        <v>7</v>
      </c>
      <c r="F303">
        <v>54</v>
      </c>
      <c r="G303">
        <v>10</v>
      </c>
      <c r="H303">
        <v>0</v>
      </c>
      <c r="I303">
        <v>40</v>
      </c>
      <c r="J303">
        <v>102</v>
      </c>
      <c r="K303">
        <v>9</v>
      </c>
      <c r="L303">
        <v>5</v>
      </c>
      <c r="M303">
        <v>3</v>
      </c>
      <c r="N303">
        <v>3</v>
      </c>
      <c r="O303">
        <v>3</v>
      </c>
      <c r="P303">
        <v>3</v>
      </c>
      <c r="Q303">
        <v>3</v>
      </c>
      <c r="R303">
        <v>10</v>
      </c>
      <c r="S303">
        <v>34</v>
      </c>
      <c r="T303">
        <v>9</v>
      </c>
      <c r="U303">
        <v>8</v>
      </c>
      <c r="V303">
        <v>8</v>
      </c>
      <c r="W303">
        <v>8</v>
      </c>
      <c r="X303">
        <v>8</v>
      </c>
      <c r="Y303">
        <v>8</v>
      </c>
      <c r="Z303">
        <v>8</v>
      </c>
      <c r="AA303">
        <v>8</v>
      </c>
      <c r="AB303">
        <v>8</v>
      </c>
      <c r="AC303">
        <v>8</v>
      </c>
      <c r="AD303">
        <v>8</v>
      </c>
      <c r="AE303">
        <v>8</v>
      </c>
      <c r="AF303">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x14ac:dyDescent="0.15"/>
  <cols>
    <col min="1" max="1" width="14.7109375" hidden="1" customWidth="1"/>
    <col min="2" max="2" width="17" hidden="1" customWidth="1"/>
    <col min="3" max="3" width="3" customWidth="1"/>
    <col min="4" max="4" width="1.85546875" hidden="1" customWidth="1"/>
    <col min="5" max="6" width="7" customWidth="1"/>
    <col min="7" max="7" width="29" customWidth="1"/>
    <col min="8" max="8" width="3.7109375" customWidth="1"/>
    <col min="9" max="9" width="5" customWidth="1"/>
    <col min="10" max="11" width="24" customWidth="1"/>
    <col min="12" max="12" width="3" customWidth="1"/>
    <col min="13" max="13" width="6" customWidth="1"/>
    <col min="14" max="14" width="25" customWidth="1"/>
    <col min="15" max="18" width="18" customWidth="1"/>
    <col min="19" max="19" width="93" customWidth="1"/>
    <col min="20" max="21" width="10" customWidth="1"/>
    <col min="22" max="22" width="11" customWidth="1"/>
    <col min="23" max="27" width="10" customWidth="1"/>
    <col min="28" max="83" width="8" customWidth="1"/>
    <col min="84" max="84" width="9.140625" hidden="1"/>
  </cols>
  <sheetData>
    <row r="1" spans="1:84" ht="22.5" hidden="1" customHeight="1" x14ac:dyDescent="0.15">
      <c r="CF1" t="s">
        <v>14</v>
      </c>
    </row>
    <row r="2" spans="1:84" ht="11.25" hidden="1" customHeight="1" x14ac:dyDescent="0.15">
      <c r="CF2">
        <v>0</v>
      </c>
    </row>
    <row r="3" spans="1:84" ht="11.25" hidden="1" customHeight="1" x14ac:dyDescent="0.15">
      <c r="CF3">
        <v>0</v>
      </c>
    </row>
    <row r="4" spans="1:84" ht="3" customHeight="1" x14ac:dyDescent="0.15">
      <c r="CF4">
        <v>3</v>
      </c>
    </row>
    <row r="5" spans="1:84" ht="29.25" customHeight="1" x14ac:dyDescent="0.15">
      <c r="E5" s="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
      <c r="G5" s="1"/>
      <c r="H5" s="1"/>
      <c r="I5" s="1"/>
      <c r="J5" s="1"/>
      <c r="K5" s="1"/>
      <c r="CF5">
        <v>28</v>
      </c>
    </row>
    <row r="6" spans="1:84" ht="16.899999999999999" customHeight="1" x14ac:dyDescent="0.15">
      <c r="E6" s="1" t="str">
        <f>IF(org=0,"Не определено",org)</f>
        <v>КГУП "Примтеплоэнерго"</v>
      </c>
      <c r="F6" s="1"/>
      <c r="G6" s="1"/>
      <c r="H6" s="1"/>
      <c r="I6" s="1"/>
      <c r="J6" s="1"/>
      <c r="K6" s="1"/>
      <c r="CF6">
        <v>16</v>
      </c>
    </row>
    <row r="7" spans="1:84" ht="11.45" customHeight="1" x14ac:dyDescent="0.15">
      <c r="CF7">
        <v>11</v>
      </c>
    </row>
    <row r="8" spans="1:84" ht="4.1500000000000004" customHeight="1" x14ac:dyDescent="0.15">
      <c r="CF8">
        <v>4</v>
      </c>
    </row>
    <row r="9" spans="1:84" ht="19.899999999999999" customHeight="1" x14ac:dyDescent="0.15">
      <c r="E9" s="1" t="s">
        <v>418</v>
      </c>
      <c r="F9" s="1"/>
      <c r="G9" s="1"/>
      <c r="H9" s="1"/>
      <c r="I9" s="1"/>
      <c r="J9" s="1"/>
      <c r="K9" s="1"/>
      <c r="L9" s="1"/>
      <c r="M9" s="1"/>
      <c r="N9" s="1"/>
      <c r="O9" s="1"/>
      <c r="P9" s="1"/>
      <c r="Q9" s="1"/>
      <c r="R9" s="1"/>
      <c r="S9" s="1" t="s">
        <v>419</v>
      </c>
      <c r="CF9">
        <v>19</v>
      </c>
    </row>
    <row r="10" spans="1:84" ht="48.2" customHeight="1" x14ac:dyDescent="0.15">
      <c r="D10" t="s">
        <v>90</v>
      </c>
      <c r="E10" s="1" t="s">
        <v>90</v>
      </c>
      <c r="F10" s="1"/>
      <c r="G10" t="s">
        <v>420</v>
      </c>
      <c r="H10" s="1" t="s">
        <v>90</v>
      </c>
      <c r="I10" s="1"/>
      <c r="J10" t="s">
        <v>719</v>
      </c>
      <c r="K10" t="s">
        <v>720</v>
      </c>
      <c r="L10" s="1" t="s">
        <v>90</v>
      </c>
      <c r="M10" s="1"/>
      <c r="N10" t="s">
        <v>721</v>
      </c>
      <c r="O10" t="s">
        <v>722</v>
      </c>
      <c r="P10" t="s">
        <v>723</v>
      </c>
      <c r="Q10" t="s">
        <v>724</v>
      </c>
      <c r="R10" t="s">
        <v>725</v>
      </c>
      <c r="S10" s="1"/>
      <c r="CF10">
        <v>46</v>
      </c>
    </row>
    <row r="11" spans="1:84" ht="15" hidden="1" customHeight="1" x14ac:dyDescent="0.15">
      <c r="D11" t="s">
        <v>101</v>
      </c>
      <c r="F11" t="s">
        <v>105</v>
      </c>
      <c r="G11" t="s">
        <v>92</v>
      </c>
      <c r="I11" t="s">
        <v>93</v>
      </c>
      <c r="J11" t="s">
        <v>120</v>
      </c>
      <c r="K11" t="s">
        <v>94</v>
      </c>
      <c r="M11" t="s">
        <v>95</v>
      </c>
      <c r="N11" t="s">
        <v>134</v>
      </c>
      <c r="O11" t="s">
        <v>139</v>
      </c>
      <c r="P11" t="s">
        <v>145</v>
      </c>
      <c r="Q11" t="s">
        <v>150</v>
      </c>
      <c r="R11" t="s">
        <v>154</v>
      </c>
      <c r="S11" t="s">
        <v>158</v>
      </c>
      <c r="CF11">
        <v>0</v>
      </c>
    </row>
    <row r="12" spans="1:84" ht="1.1499999999999999" customHeight="1" x14ac:dyDescent="0.15">
      <c r="CF12">
        <v>1</v>
      </c>
    </row>
    <row r="13" spans="1:84" ht="1.1499999999999999" customHeight="1" x14ac:dyDescent="0.15">
      <c r="D13" t="s">
        <v>494</v>
      </c>
      <c r="CF13">
        <v>1</v>
      </c>
    </row>
    <row r="14" spans="1:84" ht="15" hidden="1" customHeight="1" x14ac:dyDescent="0.15">
      <c r="A14" t="s">
        <v>173</v>
      </c>
      <c r="D14" s="1" t="s">
        <v>101</v>
      </c>
      <c r="E14" s="1" t="s">
        <v>165</v>
      </c>
      <c r="F14" s="1"/>
      <c r="G14" s="1"/>
      <c r="H14" s="1">
        <f>IF(A14="","",INDEX(DIFFERENTIATION_UNMERGE_VD,MATCH(A14,DIFFERENTIATION_ID_DIFF,0)))</f>
        <v>0</v>
      </c>
      <c r="I14" s="1"/>
      <c r="J14" s="1"/>
      <c r="K14" s="1"/>
      <c r="L14" s="1"/>
      <c r="M14" s="1"/>
      <c r="N14" s="1"/>
      <c r="O14" s="1"/>
      <c r="P14" s="1"/>
      <c r="Q14" s="1"/>
      <c r="R14" s="1"/>
      <c r="AC14" s="1"/>
      <c r="AE14" t="s">
        <v>28</v>
      </c>
      <c r="AG14" t="s">
        <v>726</v>
      </c>
      <c r="AH14">
        <v>3</v>
      </c>
      <c r="CF14">
        <v>0</v>
      </c>
    </row>
    <row r="15" spans="1:84" ht="15" hidden="1" customHeight="1" x14ac:dyDescent="0.15">
      <c r="D15" s="1"/>
      <c r="E15" s="1" t="s">
        <v>681</v>
      </c>
      <c r="F15" s="1"/>
      <c r="G15" s="1"/>
      <c r="H15" s="1" t="str">
        <f>IF(A14="","",INDEX(DIFFERENTIATION_UNMERGE_AREA,MATCH(A14,DIFFERENTIATION_ID_DIFF,0)))</f>
        <v/>
      </c>
      <c r="I15" s="1"/>
      <c r="J15" s="1"/>
      <c r="K15" s="1"/>
      <c r="L15" s="1"/>
      <c r="M15" s="1"/>
      <c r="N15" s="1"/>
      <c r="O15" s="1"/>
      <c r="P15" s="1"/>
      <c r="Q15" s="1"/>
      <c r="R15" s="1"/>
      <c r="AC15" s="1"/>
      <c r="CF15">
        <v>0</v>
      </c>
    </row>
    <row r="16" spans="1:84" ht="15" hidden="1" customHeight="1" x14ac:dyDescent="0.15">
      <c r="D16" s="1"/>
      <c r="E16" s="1" t="s">
        <v>682</v>
      </c>
      <c r="F16" s="1"/>
      <c r="G16" s="1"/>
      <c r="H16" s="1" t="str">
        <f>IF(A14="","",INDEX(DIFFERENTIATION_UNMERGE_SYSTEM,MATCH(A14,DIFFERENTIATION_ID_DIFF,0)))</f>
        <v>без дифференциации</v>
      </c>
      <c r="I16" s="1"/>
      <c r="J16" s="1"/>
      <c r="K16" s="1"/>
      <c r="L16" s="1"/>
      <c r="M16" s="1"/>
      <c r="N16" s="1"/>
      <c r="O16" s="1"/>
      <c r="P16" s="1"/>
      <c r="Q16" s="1"/>
      <c r="R16" s="1"/>
      <c r="AC16" s="1"/>
      <c r="CF16">
        <v>0</v>
      </c>
    </row>
    <row r="17" spans="1:84" ht="22.5" hidden="1" customHeight="1" x14ac:dyDescent="0.15">
      <c r="D17" s="1"/>
      <c r="E17" s="1" t="s">
        <v>727</v>
      </c>
      <c r="F17" s="1"/>
      <c r="G17" s="1"/>
      <c r="H17" s="1"/>
      <c r="I17" s="1"/>
      <c r="J17" s="1"/>
      <c r="K17" s="1"/>
      <c r="L17" s="1"/>
      <c r="M17" s="1"/>
      <c r="N17" s="1"/>
      <c r="O17" s="1"/>
      <c r="P17" s="1"/>
      <c r="Q17">
        <f>SUMIF(T18:T19,"i",Q18:Q19)</f>
        <v>0</v>
      </c>
      <c r="S17" t="s">
        <v>728</v>
      </c>
      <c r="T17" t="s">
        <v>729</v>
      </c>
      <c r="U17" s="1">
        <v>1</v>
      </c>
      <c r="V17" s="1" t="str">
        <f>INDEX(B_FHD_FLAG_INDEX_1,1,MATCH(A14,B_FHD_FLAG_DIFFERENTIATION,0))</f>
        <v>отсутствует</v>
      </c>
      <c r="AC17" s="1"/>
      <c r="CF17">
        <v>0</v>
      </c>
    </row>
    <row r="18" spans="1:84" ht="11.25" hidden="1" customHeight="1" x14ac:dyDescent="0.15">
      <c r="D18" s="1"/>
      <c r="F18">
        <v>0</v>
      </c>
      <c r="U18" s="1"/>
      <c r="V18" s="1"/>
      <c r="AC18" s="1"/>
      <c r="CF18">
        <v>0</v>
      </c>
    </row>
    <row r="19" spans="1:84" ht="11.25" hidden="1" customHeight="1" x14ac:dyDescent="0.15">
      <c r="D19" s="1"/>
      <c r="E19" t="s">
        <v>28</v>
      </c>
      <c r="F19" t="s">
        <v>28</v>
      </c>
      <c r="G19" t="s">
        <v>28</v>
      </c>
      <c r="H19" t="s">
        <v>28</v>
      </c>
      <c r="U19" s="1"/>
      <c r="V19" s="1"/>
      <c r="AC19" s="1"/>
      <c r="CF19">
        <v>0</v>
      </c>
    </row>
    <row r="20" spans="1:84" ht="22.5" hidden="1" customHeight="1" x14ac:dyDescent="0.15">
      <c r="D20" s="1"/>
      <c r="E20" s="1" t="s">
        <v>730</v>
      </c>
      <c r="F20" s="1"/>
      <c r="G20" s="1"/>
      <c r="H20" s="1"/>
      <c r="I20" s="1"/>
      <c r="J20" s="1"/>
      <c r="K20" s="1"/>
      <c r="L20" s="1"/>
      <c r="M20" s="1"/>
      <c r="N20" s="1"/>
      <c r="O20" s="1"/>
      <c r="P20" s="1"/>
      <c r="Q20">
        <f>SUMIF(T21:T22,"i",Q21:Q22)</f>
        <v>0</v>
      </c>
      <c r="S20" t="s">
        <v>731</v>
      </c>
      <c r="T20" t="s">
        <v>729</v>
      </c>
      <c r="U20" s="1">
        <v>2</v>
      </c>
      <c r="V20" s="1" t="str">
        <f>INDEX(B_FHD_FLAG_INDEX_2,1,MATCH(A14,B_FHD_FLAG_DIFFERENTIATION,0))</f>
        <v>отсутствует</v>
      </c>
      <c r="CF20">
        <v>0</v>
      </c>
    </row>
    <row r="21" spans="1:84" ht="11.25" hidden="1" customHeight="1" x14ac:dyDescent="0.15">
      <c r="D21" s="1"/>
      <c r="F21">
        <v>0</v>
      </c>
      <c r="U21" s="1"/>
      <c r="V21" s="1"/>
      <c r="CF21">
        <v>0</v>
      </c>
    </row>
    <row r="22" spans="1:84" ht="11.25" hidden="1" customHeight="1" x14ac:dyDescent="0.15">
      <c r="D22" s="1"/>
      <c r="E22" t="s">
        <v>28</v>
      </c>
      <c r="F22" t="s">
        <v>28</v>
      </c>
      <c r="G22" t="s">
        <v>28</v>
      </c>
      <c r="H22" t="s">
        <v>28</v>
      </c>
      <c r="U22" s="1"/>
      <c r="V22" s="1"/>
      <c r="CF22">
        <v>0</v>
      </c>
    </row>
    <row r="23" spans="1:84" ht="19.899999999999999" customHeight="1" x14ac:dyDescent="0.15">
      <c r="CF23">
        <v>19</v>
      </c>
    </row>
    <row r="24" spans="1:84" ht="11.45" customHeight="1" x14ac:dyDescent="0.15">
      <c r="CF24">
        <v>11</v>
      </c>
    </row>
    <row r="25" spans="1:84" ht="11.45" customHeight="1" x14ac:dyDescent="0.15">
      <c r="CF25">
        <v>11</v>
      </c>
    </row>
    <row r="26" spans="1:84" ht="11.45" customHeight="1" x14ac:dyDescent="0.15">
      <c r="CF26">
        <v>11</v>
      </c>
    </row>
    <row r="27" spans="1:84" ht="11.45" customHeight="1" x14ac:dyDescent="0.15">
      <c r="E27" s="1"/>
      <c r="F27" s="1"/>
      <c r="G27" s="1"/>
      <c r="H27" s="1"/>
      <c r="I27" s="1"/>
      <c r="J27" s="1"/>
      <c r="K27" s="1"/>
      <c r="L27" s="1"/>
      <c r="M27" s="1"/>
      <c r="N27" s="1"/>
      <c r="O27" s="1"/>
      <c r="P27" s="1"/>
      <c r="Q27" s="1"/>
      <c r="R27" s="1"/>
      <c r="CF27">
        <v>11</v>
      </c>
    </row>
    <row r="28" spans="1:84" ht="11.45" customHeight="1" x14ac:dyDescent="0.15">
      <c r="CF28">
        <v>11</v>
      </c>
    </row>
    <row r="29" spans="1:84" ht="11.25" hidden="1" customHeight="1" x14ac:dyDescent="0.15">
      <c r="A29" t="s">
        <v>84</v>
      </c>
      <c r="B29">
        <v>0</v>
      </c>
      <c r="C29">
        <v>3</v>
      </c>
      <c r="D29">
        <v>0</v>
      </c>
      <c r="E29">
        <v>7</v>
      </c>
      <c r="F29">
        <v>7</v>
      </c>
      <c r="G29">
        <v>29</v>
      </c>
      <c r="H29">
        <v>3</v>
      </c>
      <c r="I29">
        <v>5</v>
      </c>
      <c r="J29">
        <v>24</v>
      </c>
      <c r="K29">
        <v>24</v>
      </c>
      <c r="L29">
        <v>3</v>
      </c>
      <c r="M29">
        <v>6</v>
      </c>
      <c r="N29">
        <v>25</v>
      </c>
      <c r="O29">
        <v>18</v>
      </c>
      <c r="P29">
        <v>18</v>
      </c>
      <c r="Q29">
        <v>18</v>
      </c>
      <c r="R29">
        <v>18</v>
      </c>
      <c r="S29">
        <v>93</v>
      </c>
      <c r="T29">
        <v>10</v>
      </c>
      <c r="U29">
        <v>10</v>
      </c>
      <c r="V29">
        <v>11</v>
      </c>
      <c r="W29">
        <v>10</v>
      </c>
      <c r="X29">
        <v>10</v>
      </c>
      <c r="Y29">
        <v>10</v>
      </c>
      <c r="Z29">
        <v>10</v>
      </c>
      <c r="AA29">
        <v>10</v>
      </c>
      <c r="AB29">
        <v>8</v>
      </c>
      <c r="AC29">
        <v>8</v>
      </c>
      <c r="AD29">
        <v>8</v>
      </c>
      <c r="AE29">
        <v>8</v>
      </c>
      <c r="AF29">
        <v>8</v>
      </c>
      <c r="AG29">
        <v>8</v>
      </c>
      <c r="AH29">
        <v>8</v>
      </c>
      <c r="AI29">
        <v>8</v>
      </c>
      <c r="AJ29">
        <v>8</v>
      </c>
      <c r="AK29">
        <v>8</v>
      </c>
      <c r="AL29">
        <v>8</v>
      </c>
      <c r="AM29">
        <v>8</v>
      </c>
      <c r="AN29">
        <v>8</v>
      </c>
      <c r="AO29">
        <v>8</v>
      </c>
      <c r="AP29">
        <v>8</v>
      </c>
      <c r="AQ29">
        <v>8</v>
      </c>
      <c r="AR29">
        <v>8</v>
      </c>
      <c r="AS29">
        <v>8</v>
      </c>
      <c r="AT29">
        <v>8</v>
      </c>
      <c r="AU29">
        <v>8</v>
      </c>
      <c r="AV29">
        <v>8</v>
      </c>
      <c r="AW29">
        <v>8</v>
      </c>
      <c r="AX29">
        <v>8</v>
      </c>
      <c r="AY29">
        <v>8</v>
      </c>
      <c r="AZ29">
        <v>8</v>
      </c>
      <c r="BA29">
        <v>8</v>
      </c>
      <c r="BB29">
        <v>8</v>
      </c>
      <c r="BC29">
        <v>8</v>
      </c>
      <c r="BD29">
        <v>8</v>
      </c>
      <c r="BE29">
        <v>8</v>
      </c>
      <c r="BF29">
        <v>8</v>
      </c>
      <c r="BG29">
        <v>8</v>
      </c>
      <c r="BH29">
        <v>8</v>
      </c>
      <c r="BI29">
        <v>8</v>
      </c>
      <c r="BJ29">
        <v>8</v>
      </c>
      <c r="BK29">
        <v>8</v>
      </c>
      <c r="BL29">
        <v>8</v>
      </c>
      <c r="BM29">
        <v>8</v>
      </c>
      <c r="BN29">
        <v>8</v>
      </c>
      <c r="BO29">
        <v>8</v>
      </c>
      <c r="BP29">
        <v>8</v>
      </c>
      <c r="BQ29">
        <v>8</v>
      </c>
      <c r="BR29">
        <v>8</v>
      </c>
      <c r="BS29">
        <v>8</v>
      </c>
      <c r="BT29">
        <v>8</v>
      </c>
      <c r="BU29">
        <v>8</v>
      </c>
      <c r="BV29">
        <v>8</v>
      </c>
      <c r="BW29">
        <v>8</v>
      </c>
      <c r="BX29">
        <v>8</v>
      </c>
      <c r="BY29">
        <v>8</v>
      </c>
      <c r="BZ29">
        <v>8</v>
      </c>
      <c r="CA29">
        <v>8</v>
      </c>
      <c r="CB29">
        <v>8</v>
      </c>
      <c r="CC29">
        <v>8</v>
      </c>
      <c r="CD29">
        <v>8</v>
      </c>
      <c r="CE29">
        <v>8</v>
      </c>
      <c r="CF2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x14ac:dyDescent="0.15"/>
  <cols>
    <col min="1" max="5" width="10.7109375" hidden="1" customWidth="1"/>
    <col min="6" max="6" width="16.85546875" hidden="1" customWidth="1"/>
    <col min="7" max="7" width="5.5703125" hidden="1" customWidth="1"/>
    <col min="8" max="8" width="3" customWidth="1"/>
    <col min="9" max="9" width="7" customWidth="1"/>
    <col min="10" max="10" width="56" customWidth="1"/>
    <col min="11" max="11" width="10" customWidth="1"/>
    <col min="12" max="12" width="40.5703125" hidden="1" customWidth="1"/>
    <col min="13" max="13" width="40.7109375" customWidth="1"/>
    <col min="14" max="14" width="9.7109375" hidden="1" customWidth="1"/>
    <col min="15" max="15" width="102" customWidth="1"/>
    <col min="16" max="16" width="9" customWidth="1"/>
    <col min="17" max="17" width="5" customWidth="1"/>
    <col min="18" max="22" width="3" customWidth="1"/>
    <col min="23" max="23" width="10" customWidth="1"/>
    <col min="24" max="24" width="34" customWidth="1"/>
    <col min="25" max="25" width="9" customWidth="1"/>
    <col min="26" max="36" width="8" customWidth="1"/>
    <col min="37" max="37" width="5.42578125" hidden="1" customWidth="1"/>
  </cols>
  <sheetData>
    <row r="1" spans="2:37" ht="33.75" hidden="1" customHeight="1" x14ac:dyDescent="0.15">
      <c r="L1">
        <v>4</v>
      </c>
      <c r="M1">
        <v>4</v>
      </c>
      <c r="AK1" t="s">
        <v>14</v>
      </c>
    </row>
    <row r="2" spans="2:37" ht="78.75" hidden="1" customHeight="1" x14ac:dyDescent="0.15">
      <c r="B2" t="s">
        <v>732</v>
      </c>
      <c r="C2" t="s">
        <v>733</v>
      </c>
      <c r="D2" t="s">
        <v>734</v>
      </c>
      <c r="E2" t="e">
        <f>RIGHT(I2,LEN(I2)-SEARCH("#",SUBSTITUTE(I2,".","#",LEN(I2)-LEN(SUBSTITUTE(I2,".","")))))</f>
        <v>#VALUE!</v>
      </c>
      <c r="F2">
        <f>J2</f>
        <v>0</v>
      </c>
      <c r="K2" t="s">
        <v>673</v>
      </c>
      <c r="O2" t="s">
        <v>674</v>
      </c>
      <c r="AK2">
        <v>0</v>
      </c>
    </row>
    <row r="3" spans="2:37" ht="11.25" hidden="1" customHeight="1" x14ac:dyDescent="0.15">
      <c r="E3" t="s">
        <v>735</v>
      </c>
      <c r="L3">
        <f>0</f>
        <v>0</v>
      </c>
      <c r="M3">
        <v>1</v>
      </c>
      <c r="AK3">
        <v>0</v>
      </c>
    </row>
    <row r="4" spans="2:37" ht="11.25" hidden="1" customHeight="1" x14ac:dyDescent="0.15">
      <c r="O4">
        <v>4</v>
      </c>
      <c r="AK4">
        <v>0</v>
      </c>
    </row>
    <row r="5" spans="2:37" ht="11.45" customHeight="1" x14ac:dyDescent="0.15">
      <c r="AK5">
        <v>11</v>
      </c>
    </row>
    <row r="6" spans="2:37" ht="57.75" customHeight="1" x14ac:dyDescent="0.15">
      <c r="I6" s="1" t="s">
        <v>736</v>
      </c>
      <c r="J6" s="1"/>
      <c r="K6" s="1"/>
      <c r="L6" s="1"/>
      <c r="M6" s="1"/>
      <c r="AK6">
        <v>55</v>
      </c>
    </row>
    <row r="7" spans="2:37" ht="25.15" customHeight="1" x14ac:dyDescent="0.15">
      <c r="I7" s="1" t="str">
        <f>IF(org=0,"Не определено",org)</f>
        <v>КГУП "Примтеплоэнерго"</v>
      </c>
      <c r="J7" s="1"/>
      <c r="K7" s="1"/>
      <c r="L7" s="1"/>
      <c r="M7" s="1"/>
      <c r="AK7">
        <v>24</v>
      </c>
    </row>
    <row r="8" spans="2:37" ht="11.45" customHeight="1" x14ac:dyDescent="0.15">
      <c r="AK8">
        <v>11</v>
      </c>
    </row>
    <row r="9" spans="2:37" ht="30" hidden="1" customHeight="1" x14ac:dyDescent="0.15">
      <c r="M9" t="s">
        <v>173</v>
      </c>
      <c r="AK9">
        <v>1</v>
      </c>
    </row>
    <row r="10" spans="2:37" ht="11.45" customHeight="1" x14ac:dyDescent="0.15">
      <c r="E10" t="s">
        <v>737</v>
      </c>
      <c r="J10" s="1" t="s">
        <v>165</v>
      </c>
      <c r="K10" s="1"/>
      <c r="L10" t="str">
        <f>IF(L9="","",INDEX(DIFFERENTIATION_UNMERGE_VD,MATCH(L9,DIFFERENTIATION_ID_DIFF,0)))</f>
        <v/>
      </c>
      <c r="M10">
        <f>IF(M9="","",INDEX(DIFFERENTIATION_UNMERGE_VD,MATCH(M9,DIFFERENTIATION_ID_DIFF,0)))</f>
        <v>0</v>
      </c>
      <c r="O10" s="1" t="s">
        <v>419</v>
      </c>
      <c r="AK10">
        <v>11</v>
      </c>
    </row>
    <row r="11" spans="2:37" ht="11.45" customHeight="1" x14ac:dyDescent="0.15">
      <c r="E11" t="s">
        <v>738</v>
      </c>
      <c r="J11" s="1" t="s">
        <v>681</v>
      </c>
      <c r="K11" s="1"/>
      <c r="L11" t="str">
        <f>IF(L9="","",INDEX(DIFFERENTIATION_UNMERGE_AREA,MATCH(L9,DIFFERENTIATION_ID_DIFF,0)))</f>
        <v/>
      </c>
      <c r="M11" t="str">
        <f>IF(M9="","",INDEX(DIFFERENTIATION_UNMERGE_AREA,MATCH(M9,DIFFERENTIATION_ID_DIFF,0)))</f>
        <v/>
      </c>
      <c r="O11" s="1"/>
      <c r="AK11">
        <v>11</v>
      </c>
    </row>
    <row r="12" spans="2:37" ht="11.45" customHeight="1" x14ac:dyDescent="0.15">
      <c r="E12" t="s">
        <v>739</v>
      </c>
      <c r="J12" s="1" t="s">
        <v>682</v>
      </c>
      <c r="K12" s="1"/>
      <c r="L12" t="str">
        <f>IF(L9="","",INDEX(DIFFERENTIATION_UNMERGE_SYSTEM,MATCH(L9,DIFFERENTIATION_ID_DIFF,0)))</f>
        <v/>
      </c>
      <c r="M12" t="str">
        <f>IF(M9="","",INDEX(DIFFERENTIATION_UNMERGE_SYSTEM,MATCH(M9,DIFFERENTIATION_ID_DIFF,0)))</f>
        <v>без дифференциации</v>
      </c>
      <c r="O12" s="1"/>
      <c r="AK12">
        <v>11</v>
      </c>
    </row>
    <row r="13" spans="2:37" ht="11.45" customHeight="1" x14ac:dyDescent="0.15">
      <c r="E13" t="s">
        <v>740</v>
      </c>
      <c r="F13" t="s">
        <v>741</v>
      </c>
      <c r="I13" s="1" t="s">
        <v>418</v>
      </c>
      <c r="J13" s="1"/>
      <c r="K13" s="1"/>
      <c r="O13" s="1"/>
      <c r="AK13">
        <v>11</v>
      </c>
    </row>
    <row r="14" spans="2:37" ht="24" customHeight="1" x14ac:dyDescent="0.15">
      <c r="I14" t="s">
        <v>90</v>
      </c>
      <c r="J14" t="s">
        <v>420</v>
      </c>
      <c r="K14" t="s">
        <v>683</v>
      </c>
      <c r="L14" t="s">
        <v>421</v>
      </c>
      <c r="M14" t="s">
        <v>421</v>
      </c>
      <c r="O14" s="1"/>
      <c r="AK14">
        <v>23</v>
      </c>
    </row>
    <row r="15" spans="2:37" ht="24" customHeight="1" x14ac:dyDescent="0.15">
      <c r="B15" t="s">
        <v>742</v>
      </c>
      <c r="C15" t="s">
        <v>743</v>
      </c>
      <c r="D15" t="s">
        <v>744</v>
      </c>
      <c r="E15" t="s">
        <v>745</v>
      </c>
      <c r="F15" t="s">
        <v>745</v>
      </c>
      <c r="G15" t="s">
        <v>705</v>
      </c>
      <c r="I15">
        <v>1</v>
      </c>
      <c r="J15" t="s">
        <v>746</v>
      </c>
      <c r="K15" t="s">
        <v>424</v>
      </c>
      <c r="N15" t="s">
        <v>747</v>
      </c>
      <c r="O15" t="s">
        <v>748</v>
      </c>
      <c r="P15" t="s">
        <v>747</v>
      </c>
      <c r="AK15">
        <v>23</v>
      </c>
    </row>
    <row r="16" spans="2:37" ht="35.65" customHeight="1" x14ac:dyDescent="0.15">
      <c r="B16" t="s">
        <v>749</v>
      </c>
      <c r="C16" t="s">
        <v>750</v>
      </c>
      <c r="D16" t="s">
        <v>734</v>
      </c>
      <c r="E16" t="s">
        <v>745</v>
      </c>
      <c r="F16" t="s">
        <v>745</v>
      </c>
      <c r="I16">
        <v>2</v>
      </c>
      <c r="J16" t="s">
        <v>751</v>
      </c>
      <c r="K16" t="s">
        <v>673</v>
      </c>
      <c r="N16" t="s">
        <v>747</v>
      </c>
      <c r="O16" t="s">
        <v>752</v>
      </c>
      <c r="P16" t="s">
        <v>747</v>
      </c>
      <c r="AK16">
        <v>34</v>
      </c>
    </row>
    <row r="17" spans="2:37" ht="17.25" hidden="1" customHeight="1" x14ac:dyDescent="0.15">
      <c r="I17" t="s">
        <v>753</v>
      </c>
      <c r="AK17">
        <v>1</v>
      </c>
    </row>
    <row r="18" spans="2:37" ht="24" customHeight="1" x14ac:dyDescent="0.15">
      <c r="J18" t="s">
        <v>703</v>
      </c>
      <c r="O18" t="s">
        <v>704</v>
      </c>
      <c r="AK18">
        <v>23</v>
      </c>
    </row>
    <row r="19" spans="2:37" ht="19.899999999999999" customHeight="1" x14ac:dyDescent="0.15">
      <c r="B19" t="s">
        <v>754</v>
      </c>
      <c r="C19" t="s">
        <v>755</v>
      </c>
      <c r="D19" t="s">
        <v>734</v>
      </c>
      <c r="E19" t="s">
        <v>745</v>
      </c>
      <c r="F19" t="s">
        <v>745</v>
      </c>
      <c r="I19">
        <v>3</v>
      </c>
      <c r="J19" t="s">
        <v>755</v>
      </c>
      <c r="K19" t="s">
        <v>673</v>
      </c>
      <c r="O19" t="s">
        <v>756</v>
      </c>
      <c r="AK19">
        <v>19</v>
      </c>
    </row>
    <row r="20" spans="2:37" ht="77.650000000000006" customHeight="1" x14ac:dyDescent="0.15">
      <c r="B20" t="s">
        <v>757</v>
      </c>
      <c r="C20" t="s">
        <v>758</v>
      </c>
      <c r="D20" t="s">
        <v>734</v>
      </c>
      <c r="E20" t="s">
        <v>745</v>
      </c>
      <c r="F20" t="s">
        <v>745</v>
      </c>
      <c r="I20">
        <v>4</v>
      </c>
      <c r="J20" t="s">
        <v>759</v>
      </c>
      <c r="K20" t="s">
        <v>700</v>
      </c>
      <c r="AK20">
        <v>74</v>
      </c>
    </row>
    <row r="21" spans="2:37" ht="35.65" customHeight="1" x14ac:dyDescent="0.15">
      <c r="B21" t="s">
        <v>760</v>
      </c>
      <c r="C21" t="s">
        <v>761</v>
      </c>
      <c r="D21" t="s">
        <v>734</v>
      </c>
      <c r="E21" t="s">
        <v>745</v>
      </c>
      <c r="F21" t="s">
        <v>745</v>
      </c>
      <c r="I21">
        <v>5</v>
      </c>
      <c r="J21" t="s">
        <v>762</v>
      </c>
      <c r="K21" t="s">
        <v>700</v>
      </c>
      <c r="O21" t="s">
        <v>756</v>
      </c>
      <c r="AK21">
        <v>34</v>
      </c>
    </row>
    <row r="22" spans="2:37" ht="48.2" customHeight="1" x14ac:dyDescent="0.15">
      <c r="B22" t="s">
        <v>763</v>
      </c>
      <c r="C22" t="s">
        <v>764</v>
      </c>
      <c r="D22" t="s">
        <v>734</v>
      </c>
      <c r="E22" t="s">
        <v>745</v>
      </c>
      <c r="F22" t="s">
        <v>745</v>
      </c>
      <c r="I22">
        <v>6</v>
      </c>
      <c r="J22" t="s">
        <v>765</v>
      </c>
      <c r="K22" t="s">
        <v>700</v>
      </c>
      <c r="O22" t="s">
        <v>766</v>
      </c>
      <c r="AK22">
        <v>46</v>
      </c>
    </row>
    <row r="23" spans="2:37" ht="19.899999999999999" customHeight="1" x14ac:dyDescent="0.15">
      <c r="B23" t="s">
        <v>767</v>
      </c>
      <c r="C23" t="s">
        <v>768</v>
      </c>
      <c r="D23" t="s">
        <v>734</v>
      </c>
      <c r="E23" t="s">
        <v>745</v>
      </c>
      <c r="F23" t="s">
        <v>745</v>
      </c>
      <c r="I23" t="s">
        <v>769</v>
      </c>
      <c r="J23" t="s">
        <v>770</v>
      </c>
      <c r="K23" t="s">
        <v>700</v>
      </c>
      <c r="O23" t="s">
        <v>756</v>
      </c>
      <c r="AK23">
        <v>19</v>
      </c>
    </row>
    <row r="24" spans="2:37" ht="19.899999999999999" customHeight="1" x14ac:dyDescent="0.15">
      <c r="B24" t="s">
        <v>771</v>
      </c>
      <c r="C24" t="s">
        <v>772</v>
      </c>
      <c r="D24" t="s">
        <v>734</v>
      </c>
      <c r="E24" t="s">
        <v>745</v>
      </c>
      <c r="F24" t="s">
        <v>745</v>
      </c>
      <c r="I24" t="s">
        <v>773</v>
      </c>
      <c r="J24" t="s">
        <v>774</v>
      </c>
      <c r="K24" t="s">
        <v>700</v>
      </c>
      <c r="AK24">
        <v>19</v>
      </c>
    </row>
    <row r="25" spans="2:37" ht="24" customHeight="1" x14ac:dyDescent="0.15">
      <c r="B25" t="s">
        <v>775</v>
      </c>
      <c r="C25" t="s">
        <v>776</v>
      </c>
      <c r="D25" t="s">
        <v>734</v>
      </c>
      <c r="E25" t="s">
        <v>745</v>
      </c>
      <c r="F25" t="s">
        <v>745</v>
      </c>
      <c r="I25" t="s">
        <v>777</v>
      </c>
      <c r="J25" t="s">
        <v>778</v>
      </c>
      <c r="K25" t="s">
        <v>700</v>
      </c>
      <c r="AK25">
        <v>23</v>
      </c>
    </row>
    <row r="26" spans="2:37" ht="24" customHeight="1" x14ac:dyDescent="0.15">
      <c r="B26" t="s">
        <v>779</v>
      </c>
      <c r="C26" t="s">
        <v>780</v>
      </c>
      <c r="D26" t="s">
        <v>734</v>
      </c>
      <c r="E26" t="s">
        <v>745</v>
      </c>
      <c r="F26" t="s">
        <v>745</v>
      </c>
      <c r="I26">
        <v>7</v>
      </c>
      <c r="J26" t="s">
        <v>780</v>
      </c>
      <c r="K26" t="s">
        <v>781</v>
      </c>
      <c r="AK26">
        <v>23</v>
      </c>
    </row>
    <row r="27" spans="2:37" ht="24" customHeight="1" x14ac:dyDescent="0.15">
      <c r="B27" t="s">
        <v>782</v>
      </c>
      <c r="C27" t="s">
        <v>783</v>
      </c>
      <c r="D27" t="s">
        <v>734</v>
      </c>
      <c r="E27" t="s">
        <v>745</v>
      </c>
      <c r="F27" t="s">
        <v>745</v>
      </c>
      <c r="I27">
        <v>8</v>
      </c>
      <c r="J27" t="s">
        <v>783</v>
      </c>
      <c r="K27" t="s">
        <v>706</v>
      </c>
      <c r="AK27">
        <v>23</v>
      </c>
    </row>
    <row r="28" spans="2:37" ht="35.65" customHeight="1" x14ac:dyDescent="0.15">
      <c r="B28" t="s">
        <v>784</v>
      </c>
      <c r="C28" t="s">
        <v>785</v>
      </c>
      <c r="D28" t="s">
        <v>734</v>
      </c>
      <c r="E28" t="s">
        <v>745</v>
      </c>
      <c r="F28" t="s">
        <v>745</v>
      </c>
      <c r="I28">
        <v>9</v>
      </c>
      <c r="J28" t="s">
        <v>786</v>
      </c>
      <c r="K28" t="s">
        <v>677</v>
      </c>
      <c r="AK28">
        <v>34</v>
      </c>
    </row>
    <row r="29" spans="2:37" ht="35.65" customHeight="1" x14ac:dyDescent="0.15">
      <c r="B29" t="s">
        <v>787</v>
      </c>
      <c r="C29" t="s">
        <v>788</v>
      </c>
      <c r="D29" t="s">
        <v>734</v>
      </c>
      <c r="E29" t="s">
        <v>745</v>
      </c>
      <c r="F29" t="s">
        <v>745</v>
      </c>
      <c r="I29">
        <v>10</v>
      </c>
      <c r="J29" t="s">
        <v>789</v>
      </c>
      <c r="K29" t="s">
        <v>677</v>
      </c>
      <c r="AK29">
        <v>34</v>
      </c>
    </row>
    <row r="30" spans="2:37" ht="24" customHeight="1" x14ac:dyDescent="0.15">
      <c r="B30" t="s">
        <v>790</v>
      </c>
      <c r="C30" t="s">
        <v>791</v>
      </c>
      <c r="D30" t="s">
        <v>734</v>
      </c>
      <c r="E30" t="s">
        <v>745</v>
      </c>
      <c r="F30" t="s">
        <v>745</v>
      </c>
      <c r="I30">
        <v>11</v>
      </c>
      <c r="J30" t="s">
        <v>791</v>
      </c>
      <c r="K30" t="s">
        <v>707</v>
      </c>
      <c r="AK30">
        <v>23</v>
      </c>
    </row>
    <row r="31" spans="2:37" ht="24" customHeight="1" x14ac:dyDescent="0.15">
      <c r="B31" t="s">
        <v>792</v>
      </c>
      <c r="C31" t="s">
        <v>793</v>
      </c>
      <c r="D31" t="s">
        <v>734</v>
      </c>
      <c r="E31" t="s">
        <v>745</v>
      </c>
      <c r="F31" t="s">
        <v>745</v>
      </c>
      <c r="I31">
        <v>12</v>
      </c>
      <c r="J31" t="s">
        <v>793</v>
      </c>
      <c r="K31" t="s">
        <v>707</v>
      </c>
      <c r="AK31">
        <v>23</v>
      </c>
    </row>
    <row r="32" spans="2:37" ht="48.2" customHeight="1" x14ac:dyDescent="0.15">
      <c r="B32" t="s">
        <v>794</v>
      </c>
      <c r="C32" t="s">
        <v>795</v>
      </c>
      <c r="D32" t="s">
        <v>734</v>
      </c>
      <c r="E32" t="s">
        <v>745</v>
      </c>
      <c r="F32" t="s">
        <v>745</v>
      </c>
      <c r="I32">
        <v>13</v>
      </c>
      <c r="J32" t="s">
        <v>796</v>
      </c>
      <c r="K32" t="s">
        <v>717</v>
      </c>
      <c r="O32" t="s">
        <v>756</v>
      </c>
      <c r="AK32">
        <v>46</v>
      </c>
    </row>
    <row r="33" spans="2:37" ht="48.2" customHeight="1" x14ac:dyDescent="0.15">
      <c r="B33" t="s">
        <v>797</v>
      </c>
      <c r="C33" t="s">
        <v>798</v>
      </c>
      <c r="D33" t="s">
        <v>734</v>
      </c>
      <c r="E33" t="s">
        <v>745</v>
      </c>
      <c r="F33" t="s">
        <v>745</v>
      </c>
      <c r="I33">
        <v>14</v>
      </c>
      <c r="J33" t="s">
        <v>799</v>
      </c>
      <c r="K33" t="s">
        <v>800</v>
      </c>
      <c r="O33" t="s">
        <v>756</v>
      </c>
      <c r="AK33">
        <v>46</v>
      </c>
    </row>
    <row r="34" spans="2:37" ht="108" customHeight="1" x14ac:dyDescent="0.15">
      <c r="B34" t="s">
        <v>801</v>
      </c>
      <c r="C34" t="s">
        <v>802</v>
      </c>
      <c r="D34" t="s">
        <v>744</v>
      </c>
      <c r="E34" t="s">
        <v>745</v>
      </c>
      <c r="F34" t="s">
        <v>745</v>
      </c>
      <c r="G34" t="s">
        <v>705</v>
      </c>
      <c r="I34">
        <v>15</v>
      </c>
      <c r="J34" t="s">
        <v>803</v>
      </c>
      <c r="K34" t="s">
        <v>424</v>
      </c>
      <c r="O34" t="s">
        <v>748</v>
      </c>
      <c r="AK34">
        <v>103</v>
      </c>
    </row>
    <row r="35" spans="2:37" ht="11.45" customHeight="1" x14ac:dyDescent="0.15">
      <c r="AK35">
        <v>11</v>
      </c>
    </row>
    <row r="36" spans="2:37" ht="11.45" customHeight="1" x14ac:dyDescent="0.15">
      <c r="AK36">
        <v>11</v>
      </c>
    </row>
    <row r="37" spans="2:37" ht="11.45" customHeight="1" x14ac:dyDescent="0.15">
      <c r="AK37">
        <v>11</v>
      </c>
    </row>
    <row r="38" spans="2:37" ht="11.45" customHeight="1" x14ac:dyDescent="0.15">
      <c r="AK38">
        <v>11</v>
      </c>
    </row>
    <row r="39" spans="2:37" ht="11.45" customHeight="1" x14ac:dyDescent="0.15">
      <c r="AK39">
        <v>11</v>
      </c>
    </row>
    <row r="40" spans="2:37" ht="11.45" customHeight="1" x14ac:dyDescent="0.15">
      <c r="AK40">
        <v>11</v>
      </c>
    </row>
    <row r="41" spans="2:37" ht="11.45" customHeight="1" x14ac:dyDescent="0.15">
      <c r="AK41">
        <v>11</v>
      </c>
    </row>
    <row r="42" spans="2:37" ht="11.45" customHeight="1" x14ac:dyDescent="0.15">
      <c r="AK42">
        <v>11</v>
      </c>
    </row>
    <row r="43" spans="2:37" ht="11.45" customHeight="1" x14ac:dyDescent="0.15">
      <c r="AK43">
        <v>11</v>
      </c>
    </row>
    <row r="44" spans="2:37" ht="11.45" customHeight="1" x14ac:dyDescent="0.15">
      <c r="AK44">
        <v>11</v>
      </c>
    </row>
    <row r="45" spans="2:37" ht="11.45" customHeight="1" x14ac:dyDescent="0.15">
      <c r="AK45">
        <v>11</v>
      </c>
    </row>
    <row r="46" spans="2:37" ht="11.45" customHeight="1" x14ac:dyDescent="0.15">
      <c r="AK46">
        <v>11</v>
      </c>
    </row>
    <row r="47" spans="2:37" ht="11.45" customHeight="1" x14ac:dyDescent="0.15">
      <c r="AK47">
        <v>11</v>
      </c>
    </row>
    <row r="48" spans="2:37" ht="11.45" customHeight="1" x14ac:dyDescent="0.15">
      <c r="AK48">
        <v>11</v>
      </c>
    </row>
    <row r="49" spans="37:37" ht="11.45" customHeight="1" x14ac:dyDescent="0.15">
      <c r="AK49">
        <v>11</v>
      </c>
    </row>
    <row r="50" spans="37:37" ht="11.45" customHeight="1" x14ac:dyDescent="0.15">
      <c r="AK50">
        <v>11</v>
      </c>
    </row>
    <row r="51" spans="37:37" ht="11.45" customHeight="1" x14ac:dyDescent="0.15">
      <c r="AK51">
        <v>11</v>
      </c>
    </row>
    <row r="52" spans="37:37" ht="11.45" customHeight="1" x14ac:dyDescent="0.15">
      <c r="AK52">
        <v>11</v>
      </c>
    </row>
    <row r="53" spans="37:37" ht="11.45" customHeight="1" x14ac:dyDescent="0.15">
      <c r="AK53">
        <v>11</v>
      </c>
    </row>
    <row r="54" spans="37:37" ht="11.45" customHeight="1" x14ac:dyDescent="0.15">
      <c r="AK54">
        <v>11</v>
      </c>
    </row>
    <row r="55" spans="37:37" ht="11.45" customHeight="1" x14ac:dyDescent="0.15">
      <c r="AK55">
        <v>11</v>
      </c>
    </row>
    <row r="56" spans="37:37" ht="11.45" customHeight="1" x14ac:dyDescent="0.15">
      <c r="AK56">
        <v>11</v>
      </c>
    </row>
    <row r="57" spans="37:37" ht="11.45" customHeight="1" x14ac:dyDescent="0.15">
      <c r="AK57">
        <v>11</v>
      </c>
    </row>
    <row r="58" spans="37:37" ht="11.45" customHeight="1" x14ac:dyDescent="0.15">
      <c r="AK58">
        <v>11</v>
      </c>
    </row>
    <row r="59" spans="37:37" ht="11.45" customHeight="1" x14ac:dyDescent="0.15">
      <c r="AK59">
        <v>11</v>
      </c>
    </row>
    <row r="60" spans="37:37" ht="11.45" customHeight="1" x14ac:dyDescent="0.15">
      <c r="AK60">
        <v>11</v>
      </c>
    </row>
    <row r="61" spans="37:37" ht="11.45" customHeight="1" x14ac:dyDescent="0.15">
      <c r="AK61">
        <v>11</v>
      </c>
    </row>
    <row r="62" spans="37:37" ht="11.45" customHeight="1" x14ac:dyDescent="0.15">
      <c r="AK62">
        <v>11</v>
      </c>
    </row>
    <row r="63" spans="37:37" ht="11.45" customHeight="1" x14ac:dyDescent="0.15">
      <c r="AK63">
        <v>11</v>
      </c>
    </row>
    <row r="64" spans="37:37" ht="11.45" customHeight="1" x14ac:dyDescent="0.15">
      <c r="AK64">
        <v>11</v>
      </c>
    </row>
    <row r="65" spans="37:37" ht="11.45" customHeight="1" x14ac:dyDescent="0.15">
      <c r="AK65">
        <v>11</v>
      </c>
    </row>
    <row r="66" spans="37:37" ht="11.45" customHeight="1" x14ac:dyDescent="0.15">
      <c r="AK66">
        <v>11</v>
      </c>
    </row>
    <row r="67" spans="37:37" ht="11.45" customHeight="1" x14ac:dyDescent="0.15">
      <c r="AK67">
        <v>11</v>
      </c>
    </row>
    <row r="68" spans="37:37" ht="11.45" customHeight="1" x14ac:dyDescent="0.15">
      <c r="AK68">
        <v>11</v>
      </c>
    </row>
    <row r="69" spans="37:37" ht="11.45" customHeight="1" x14ac:dyDescent="0.15">
      <c r="AK69">
        <v>11</v>
      </c>
    </row>
    <row r="70" spans="37:37" ht="11.45" customHeight="1" x14ac:dyDescent="0.15">
      <c r="AK70">
        <v>11</v>
      </c>
    </row>
    <row r="71" spans="37:37" ht="11.45" customHeight="1" x14ac:dyDescent="0.15">
      <c r="AK71">
        <v>11</v>
      </c>
    </row>
    <row r="72" spans="37:37" ht="11.45" customHeight="1" x14ac:dyDescent="0.15">
      <c r="AK72">
        <v>11</v>
      </c>
    </row>
    <row r="73" spans="37:37" ht="11.45" customHeight="1" x14ac:dyDescent="0.15">
      <c r="AK73">
        <v>11</v>
      </c>
    </row>
    <row r="74" spans="37:37" ht="11.45" customHeight="1" x14ac:dyDescent="0.15">
      <c r="AK74">
        <v>11</v>
      </c>
    </row>
    <row r="75" spans="37:37" ht="11.45" customHeight="1" x14ac:dyDescent="0.15">
      <c r="AK75">
        <v>11</v>
      </c>
    </row>
    <row r="76" spans="37:37" ht="11.45" customHeight="1" x14ac:dyDescent="0.15">
      <c r="AK76">
        <v>11</v>
      </c>
    </row>
    <row r="77" spans="37:37" ht="11.45" customHeight="1" x14ac:dyDescent="0.15">
      <c r="AK77">
        <v>11</v>
      </c>
    </row>
    <row r="78" spans="37:37" ht="11.45" customHeight="1" x14ac:dyDescent="0.15">
      <c r="AK78">
        <v>11</v>
      </c>
    </row>
    <row r="79" spans="37:37" ht="11.45" customHeight="1" x14ac:dyDescent="0.15">
      <c r="AK79">
        <v>11</v>
      </c>
    </row>
    <row r="80" spans="37:37" ht="11.45" customHeight="1" x14ac:dyDescent="0.15">
      <c r="AK80">
        <v>11</v>
      </c>
    </row>
    <row r="81" spans="37:37" ht="11.45" customHeight="1" x14ac:dyDescent="0.15">
      <c r="AK81">
        <v>11</v>
      </c>
    </row>
    <row r="82" spans="37:37" ht="11.45" customHeight="1" x14ac:dyDescent="0.15">
      <c r="AK82">
        <v>11</v>
      </c>
    </row>
    <row r="83" spans="37:37" ht="11.45" customHeight="1" x14ac:dyDescent="0.15">
      <c r="AK83">
        <v>11</v>
      </c>
    </row>
    <row r="84" spans="37:37" ht="11.45" customHeight="1" x14ac:dyDescent="0.15">
      <c r="AK84">
        <v>11</v>
      </c>
    </row>
    <row r="85" spans="37:37" ht="11.45" customHeight="1" x14ac:dyDescent="0.15">
      <c r="AK85">
        <v>11</v>
      </c>
    </row>
    <row r="86" spans="37:37" ht="11.45" customHeight="1" x14ac:dyDescent="0.15">
      <c r="AK86">
        <v>11</v>
      </c>
    </row>
    <row r="87" spans="37:37" ht="11.45" customHeight="1" x14ac:dyDescent="0.15">
      <c r="AK87">
        <v>11</v>
      </c>
    </row>
    <row r="88" spans="37:37" ht="11.45" customHeight="1" x14ac:dyDescent="0.15">
      <c r="AK88">
        <v>11</v>
      </c>
    </row>
    <row r="89" spans="37:37" ht="11.45" customHeight="1" x14ac:dyDescent="0.15">
      <c r="AK89">
        <v>11</v>
      </c>
    </row>
    <row r="90" spans="37:37" ht="11.45" customHeight="1" x14ac:dyDescent="0.15">
      <c r="AK90">
        <v>11</v>
      </c>
    </row>
    <row r="91" spans="37:37" ht="11.45" customHeight="1" x14ac:dyDescent="0.15">
      <c r="AK91">
        <v>11</v>
      </c>
    </row>
    <row r="92" spans="37:37" ht="11.45" customHeight="1" x14ac:dyDescent="0.15">
      <c r="AK92">
        <v>11</v>
      </c>
    </row>
    <row r="93" spans="37:37" ht="11.45" customHeight="1" x14ac:dyDescent="0.15">
      <c r="AK93">
        <v>11</v>
      </c>
    </row>
    <row r="94" spans="37:37" ht="11.45" customHeight="1" x14ac:dyDescent="0.15">
      <c r="AK94">
        <v>11</v>
      </c>
    </row>
    <row r="95" spans="37:37" ht="11.45" customHeight="1" x14ac:dyDescent="0.15">
      <c r="AK95">
        <v>11</v>
      </c>
    </row>
    <row r="96" spans="37:37" ht="11.45" customHeight="1" x14ac:dyDescent="0.15">
      <c r="AK96">
        <v>11</v>
      </c>
    </row>
    <row r="97" spans="37:37" ht="11.45" customHeight="1" x14ac:dyDescent="0.15">
      <c r="AK97">
        <v>11</v>
      </c>
    </row>
    <row r="98" spans="37:37" ht="11.45" customHeight="1" x14ac:dyDescent="0.15">
      <c r="AK98">
        <v>11</v>
      </c>
    </row>
    <row r="99" spans="37:37" ht="11.45" customHeight="1" x14ac:dyDescent="0.15">
      <c r="AK99">
        <v>11</v>
      </c>
    </row>
    <row r="100" spans="37:37" ht="11.45" customHeight="1" x14ac:dyDescent="0.15">
      <c r="AK100">
        <v>11</v>
      </c>
    </row>
    <row r="101" spans="37:37" ht="11.45" customHeight="1" x14ac:dyDescent="0.15">
      <c r="AK101">
        <v>11</v>
      </c>
    </row>
    <row r="102" spans="37:37" ht="11.45" customHeight="1" x14ac:dyDescent="0.15">
      <c r="AK102">
        <v>11</v>
      </c>
    </row>
    <row r="103" spans="37:37" ht="11.45" customHeight="1" x14ac:dyDescent="0.15">
      <c r="AK103">
        <v>11</v>
      </c>
    </row>
    <row r="104" spans="37:37" ht="11.45" customHeight="1" x14ac:dyDescent="0.15">
      <c r="AK104">
        <v>11</v>
      </c>
    </row>
    <row r="105" spans="37:37" ht="11.45" customHeight="1" x14ac:dyDescent="0.15">
      <c r="AK105">
        <v>11</v>
      </c>
    </row>
    <row r="106" spans="37:37" ht="11.45" customHeight="1" x14ac:dyDescent="0.15">
      <c r="AK106">
        <v>11</v>
      </c>
    </row>
    <row r="107" spans="37:37" ht="11.45" customHeight="1" x14ac:dyDescent="0.15">
      <c r="AK107">
        <v>11</v>
      </c>
    </row>
    <row r="108" spans="37:37" ht="11.45" customHeight="1" x14ac:dyDescent="0.15">
      <c r="AK108">
        <v>11</v>
      </c>
    </row>
    <row r="109" spans="37:37" ht="11.45" customHeight="1" x14ac:dyDescent="0.15">
      <c r="AK109">
        <v>11</v>
      </c>
    </row>
    <row r="110" spans="37:37" ht="11.45" customHeight="1" x14ac:dyDescent="0.15">
      <c r="AK110">
        <v>11</v>
      </c>
    </row>
    <row r="111" spans="37:37" ht="11.45" customHeight="1" x14ac:dyDescent="0.15">
      <c r="AK111">
        <v>11</v>
      </c>
    </row>
    <row r="112" spans="37:37" ht="11.45" customHeight="1" x14ac:dyDescent="0.15">
      <c r="AK112">
        <v>11</v>
      </c>
    </row>
    <row r="113" spans="37:37" ht="11.45" customHeight="1" x14ac:dyDescent="0.15">
      <c r="AK113">
        <v>11</v>
      </c>
    </row>
    <row r="114" spans="37:37" ht="11.45" customHeight="1" x14ac:dyDescent="0.15">
      <c r="AK114">
        <v>11</v>
      </c>
    </row>
    <row r="115" spans="37:37" ht="11.45" customHeight="1" x14ac:dyDescent="0.15">
      <c r="AK115">
        <v>11</v>
      </c>
    </row>
    <row r="116" spans="37:37" ht="11.45" customHeight="1" x14ac:dyDescent="0.15">
      <c r="AK116">
        <v>11</v>
      </c>
    </row>
    <row r="117" spans="37:37" ht="11.45" customHeight="1" x14ac:dyDescent="0.15">
      <c r="AK117">
        <v>11</v>
      </c>
    </row>
    <row r="118" spans="37:37" ht="11.45" customHeight="1" x14ac:dyDescent="0.15">
      <c r="AK118">
        <v>11</v>
      </c>
    </row>
    <row r="119" spans="37:37" ht="11.45" customHeight="1" x14ac:dyDescent="0.15">
      <c r="AK119">
        <v>11</v>
      </c>
    </row>
    <row r="120" spans="37:37" ht="11.45" customHeight="1" x14ac:dyDescent="0.15">
      <c r="AK120">
        <v>11</v>
      </c>
    </row>
    <row r="121" spans="37:37" ht="11.45" customHeight="1" x14ac:dyDescent="0.15">
      <c r="AK121">
        <v>11</v>
      </c>
    </row>
    <row r="122" spans="37:37" ht="11.45" customHeight="1" x14ac:dyDescent="0.15">
      <c r="AK122">
        <v>11</v>
      </c>
    </row>
    <row r="123" spans="37:37" ht="11.45" customHeight="1" x14ac:dyDescent="0.15">
      <c r="AK123">
        <v>11</v>
      </c>
    </row>
    <row r="124" spans="37:37" ht="11.45" customHeight="1" x14ac:dyDescent="0.15">
      <c r="AK124">
        <v>11</v>
      </c>
    </row>
    <row r="125" spans="37:37" ht="11.45" customHeight="1" x14ac:dyDescent="0.15">
      <c r="AK125">
        <v>11</v>
      </c>
    </row>
    <row r="126" spans="37:37" ht="11.45" customHeight="1" x14ac:dyDescent="0.15">
      <c r="AK126">
        <v>11</v>
      </c>
    </row>
    <row r="127" spans="37:37" ht="11.45" customHeight="1" x14ac:dyDescent="0.15">
      <c r="AK127">
        <v>11</v>
      </c>
    </row>
    <row r="128" spans="37:37" ht="11.45" customHeight="1" x14ac:dyDescent="0.15">
      <c r="AK128">
        <v>11</v>
      </c>
    </row>
    <row r="129" spans="37:37" ht="11.45" customHeight="1" x14ac:dyDescent="0.15">
      <c r="AK129">
        <v>11</v>
      </c>
    </row>
    <row r="130" spans="37:37" ht="11.45" customHeight="1" x14ac:dyDescent="0.15">
      <c r="AK130">
        <v>11</v>
      </c>
    </row>
    <row r="131" spans="37:37" ht="11.45" customHeight="1" x14ac:dyDescent="0.15">
      <c r="AK131">
        <v>11</v>
      </c>
    </row>
    <row r="132" spans="37:37" ht="11.45" customHeight="1" x14ac:dyDescent="0.15">
      <c r="AK132">
        <v>11</v>
      </c>
    </row>
    <row r="133" spans="37:37" ht="11.45" customHeight="1" x14ac:dyDescent="0.15">
      <c r="AK133">
        <v>11</v>
      </c>
    </row>
    <row r="134" spans="37:37" ht="11.45" customHeight="1" x14ac:dyDescent="0.15">
      <c r="AK134">
        <v>11</v>
      </c>
    </row>
    <row r="135" spans="37:37" ht="11.45" customHeight="1" x14ac:dyDescent="0.15">
      <c r="AK135">
        <v>11</v>
      </c>
    </row>
    <row r="136" spans="37:37" ht="11.45" customHeight="1" x14ac:dyDescent="0.15">
      <c r="AK136">
        <v>11</v>
      </c>
    </row>
    <row r="137" spans="37:37" ht="11.45" customHeight="1" x14ac:dyDescent="0.15">
      <c r="AK137">
        <v>11</v>
      </c>
    </row>
    <row r="138" spans="37:37" ht="11.45" customHeight="1" x14ac:dyDescent="0.15">
      <c r="AK138">
        <v>11</v>
      </c>
    </row>
    <row r="139" spans="37:37" ht="11.45" customHeight="1" x14ac:dyDescent="0.15">
      <c r="AK139">
        <v>11</v>
      </c>
    </row>
    <row r="140" spans="37:37" ht="11.45" customHeight="1" x14ac:dyDescent="0.15">
      <c r="AK140">
        <v>11</v>
      </c>
    </row>
    <row r="141" spans="37:37" ht="11.45" customHeight="1" x14ac:dyDescent="0.15">
      <c r="AK141">
        <v>11</v>
      </c>
    </row>
    <row r="142" spans="37:37" ht="11.45" customHeight="1" x14ac:dyDescent="0.15">
      <c r="AK142">
        <v>11</v>
      </c>
    </row>
    <row r="143" spans="37:37" ht="11.45" customHeight="1" x14ac:dyDescent="0.15">
      <c r="AK143">
        <v>11</v>
      </c>
    </row>
    <row r="144" spans="37:37" ht="11.45" customHeight="1" x14ac:dyDescent="0.15">
      <c r="AK144">
        <v>11</v>
      </c>
    </row>
    <row r="145" spans="37:37" ht="11.45" customHeight="1" x14ac:dyDescent="0.15">
      <c r="AK145">
        <v>11</v>
      </c>
    </row>
    <row r="146" spans="37:37" ht="11.45" customHeight="1" x14ac:dyDescent="0.15">
      <c r="AK146">
        <v>11</v>
      </c>
    </row>
    <row r="147" spans="37:37" ht="11.45" customHeight="1" x14ac:dyDescent="0.15">
      <c r="AK147">
        <v>11</v>
      </c>
    </row>
    <row r="148" spans="37:37" ht="11.45" customHeight="1" x14ac:dyDescent="0.15">
      <c r="AK148">
        <v>11</v>
      </c>
    </row>
    <row r="149" spans="37:37" ht="11.45" customHeight="1" x14ac:dyDescent="0.15">
      <c r="AK149">
        <v>11</v>
      </c>
    </row>
    <row r="150" spans="37:37" ht="11.45" customHeight="1" x14ac:dyDescent="0.15">
      <c r="AK150">
        <v>11</v>
      </c>
    </row>
    <row r="151" spans="37:37" ht="11.45" customHeight="1" x14ac:dyDescent="0.15">
      <c r="AK151">
        <v>11</v>
      </c>
    </row>
    <row r="152" spans="37:37" ht="11.45" customHeight="1" x14ac:dyDescent="0.15">
      <c r="AK152">
        <v>11</v>
      </c>
    </row>
    <row r="153" spans="37:37" ht="11.45" customHeight="1" x14ac:dyDescent="0.15">
      <c r="AK153">
        <v>11</v>
      </c>
    </row>
    <row r="154" spans="37:37" ht="11.45" customHeight="1" x14ac:dyDescent="0.15">
      <c r="AK154">
        <v>11</v>
      </c>
    </row>
    <row r="155" spans="37:37" ht="11.45" customHeight="1" x14ac:dyDescent="0.15">
      <c r="AK155">
        <v>11</v>
      </c>
    </row>
    <row r="156" spans="37:37" ht="11.45" customHeight="1" x14ac:dyDescent="0.15">
      <c r="AK156">
        <v>11</v>
      </c>
    </row>
    <row r="157" spans="37:37" ht="11.45" customHeight="1" x14ac:dyDescent="0.15">
      <c r="AK157">
        <v>11</v>
      </c>
    </row>
    <row r="158" spans="37:37" ht="11.45" customHeight="1" x14ac:dyDescent="0.15">
      <c r="AK158">
        <v>11</v>
      </c>
    </row>
    <row r="159" spans="37:37" ht="11.45" customHeight="1" x14ac:dyDescent="0.15">
      <c r="AK159">
        <v>11</v>
      </c>
    </row>
    <row r="160" spans="37:37" ht="11.45" customHeight="1" x14ac:dyDescent="0.15">
      <c r="AK160">
        <v>11</v>
      </c>
    </row>
    <row r="161" spans="37:37" ht="11.45" customHeight="1" x14ac:dyDescent="0.15">
      <c r="AK161">
        <v>11</v>
      </c>
    </row>
    <row r="162" spans="37:37" ht="11.45" customHeight="1" x14ac:dyDescent="0.15">
      <c r="AK162">
        <v>11</v>
      </c>
    </row>
    <row r="163" spans="37:37" ht="11.45" customHeight="1" x14ac:dyDescent="0.15">
      <c r="AK163">
        <v>11</v>
      </c>
    </row>
    <row r="164" spans="37:37" ht="11.45" customHeight="1" x14ac:dyDescent="0.15">
      <c r="AK164">
        <v>11</v>
      </c>
    </row>
    <row r="165" spans="37:37" ht="11.45" customHeight="1" x14ac:dyDescent="0.15">
      <c r="AK165">
        <v>11</v>
      </c>
    </row>
    <row r="166" spans="37:37" ht="11.45" customHeight="1" x14ac:dyDescent="0.15">
      <c r="AK166">
        <v>11</v>
      </c>
    </row>
    <row r="167" spans="37:37" ht="11.45" customHeight="1" x14ac:dyDescent="0.15">
      <c r="AK167">
        <v>11</v>
      </c>
    </row>
    <row r="168" spans="37:37" ht="11.45" customHeight="1" x14ac:dyDescent="0.15">
      <c r="AK168">
        <v>11</v>
      </c>
    </row>
    <row r="169" spans="37:37" ht="11.45" customHeight="1" x14ac:dyDescent="0.15">
      <c r="AK169">
        <v>11</v>
      </c>
    </row>
    <row r="170" spans="37:37" ht="11.45" customHeight="1" x14ac:dyDescent="0.15">
      <c r="AK170">
        <v>11</v>
      </c>
    </row>
    <row r="171" spans="37:37" ht="11.45" customHeight="1" x14ac:dyDescent="0.15">
      <c r="AK171">
        <v>11</v>
      </c>
    </row>
    <row r="172" spans="37:37" ht="11.45" customHeight="1" x14ac:dyDescent="0.15">
      <c r="AK172">
        <v>11</v>
      </c>
    </row>
    <row r="173" spans="37:37" ht="11.45" customHeight="1" x14ac:dyDescent="0.15">
      <c r="AK173">
        <v>11</v>
      </c>
    </row>
    <row r="174" spans="37:37" ht="11.45" customHeight="1" x14ac:dyDescent="0.15">
      <c r="AK174">
        <v>11</v>
      </c>
    </row>
    <row r="175" spans="37:37" ht="11.45" customHeight="1" x14ac:dyDescent="0.15">
      <c r="AK175">
        <v>11</v>
      </c>
    </row>
    <row r="176" spans="37:37" ht="11.45" customHeight="1" x14ac:dyDescent="0.15">
      <c r="AK176">
        <v>11</v>
      </c>
    </row>
    <row r="177" spans="37:37" ht="11.45" customHeight="1" x14ac:dyDescent="0.15">
      <c r="AK177">
        <v>11</v>
      </c>
    </row>
    <row r="178" spans="37:37" ht="11.45" customHeight="1" x14ac:dyDescent="0.15">
      <c r="AK178">
        <v>11</v>
      </c>
    </row>
    <row r="179" spans="37:37" ht="11.45" customHeight="1" x14ac:dyDescent="0.15">
      <c r="AK179">
        <v>11</v>
      </c>
    </row>
    <row r="180" spans="37:37" ht="11.45" customHeight="1" x14ac:dyDescent="0.15">
      <c r="AK180">
        <v>11</v>
      </c>
    </row>
    <row r="181" spans="37:37" ht="11.45" customHeight="1" x14ac:dyDescent="0.15">
      <c r="AK181">
        <v>11</v>
      </c>
    </row>
    <row r="182" spans="37:37" ht="11.45" customHeight="1" x14ac:dyDescent="0.15">
      <c r="AK182">
        <v>11</v>
      </c>
    </row>
    <row r="183" spans="37:37" ht="11.45" customHeight="1" x14ac:dyDescent="0.15">
      <c r="AK183">
        <v>11</v>
      </c>
    </row>
    <row r="184" spans="37:37" ht="11.45" customHeight="1" x14ac:dyDescent="0.15">
      <c r="AK184">
        <v>11</v>
      </c>
    </row>
    <row r="185" spans="37:37" ht="11.45" customHeight="1" x14ac:dyDescent="0.15">
      <c r="AK185">
        <v>11</v>
      </c>
    </row>
    <row r="186" spans="37:37" ht="11.45" customHeight="1" x14ac:dyDescent="0.15">
      <c r="AK186">
        <v>11</v>
      </c>
    </row>
    <row r="187" spans="37:37" ht="11.45" customHeight="1" x14ac:dyDescent="0.15">
      <c r="AK187">
        <v>11</v>
      </c>
    </row>
    <row r="188" spans="37:37" ht="11.45" customHeight="1" x14ac:dyDescent="0.15">
      <c r="AK188">
        <v>11</v>
      </c>
    </row>
    <row r="189" spans="37:37" ht="11.45" customHeight="1" x14ac:dyDescent="0.15">
      <c r="AK189">
        <v>11</v>
      </c>
    </row>
    <row r="190" spans="37:37" ht="11.45" customHeight="1" x14ac:dyDescent="0.15">
      <c r="AK190">
        <v>11</v>
      </c>
    </row>
    <row r="191" spans="37:37" ht="11.45" customHeight="1" x14ac:dyDescent="0.15">
      <c r="AK191">
        <v>11</v>
      </c>
    </row>
    <row r="192" spans="37:37" ht="11.45" customHeight="1" x14ac:dyDescent="0.15">
      <c r="AK192">
        <v>11</v>
      </c>
    </row>
    <row r="193" spans="1:37" ht="11.45" customHeight="1" x14ac:dyDescent="0.15">
      <c r="AK193">
        <v>11</v>
      </c>
    </row>
    <row r="194" spans="1:37" ht="11.45" customHeight="1" x14ac:dyDescent="0.15">
      <c r="AK194">
        <v>11</v>
      </c>
    </row>
    <row r="195" spans="1:37" ht="11.45" customHeight="1" x14ac:dyDescent="0.15">
      <c r="AK195">
        <v>11</v>
      </c>
    </row>
    <row r="196" spans="1:37" ht="11.45" customHeight="1" x14ac:dyDescent="0.15">
      <c r="AK196">
        <v>11</v>
      </c>
    </row>
    <row r="197" spans="1:37" ht="11.45" customHeight="1" x14ac:dyDescent="0.15">
      <c r="AK197">
        <v>11</v>
      </c>
    </row>
    <row r="198" spans="1:37" ht="11.45" customHeight="1" x14ac:dyDescent="0.15">
      <c r="AK198">
        <v>11</v>
      </c>
    </row>
    <row r="199" spans="1:37" ht="11.45" customHeight="1" x14ac:dyDescent="0.15">
      <c r="AK199">
        <v>11</v>
      </c>
    </row>
    <row r="200" spans="1:37" ht="11.45" customHeight="1" x14ac:dyDescent="0.15">
      <c r="AK200">
        <v>11</v>
      </c>
    </row>
    <row r="201" spans="1:37" ht="11.45" customHeight="1" x14ac:dyDescent="0.15">
      <c r="AK201">
        <v>11</v>
      </c>
    </row>
    <row r="202" spans="1:37" ht="11.45" customHeight="1" x14ac:dyDescent="0.15">
      <c r="AK202">
        <v>11</v>
      </c>
    </row>
    <row r="203" spans="1:37" ht="11.45" customHeight="1" x14ac:dyDescent="0.15">
      <c r="AK203">
        <v>11</v>
      </c>
    </row>
    <row r="204" spans="1:37" ht="12.75" hidden="1" customHeight="1" x14ac:dyDescent="0.15">
      <c r="A204" t="s">
        <v>84</v>
      </c>
      <c r="B204" t="s">
        <v>145</v>
      </c>
      <c r="C204" t="s">
        <v>145</v>
      </c>
      <c r="D204" t="s">
        <v>145</v>
      </c>
      <c r="E204" t="s">
        <v>145</v>
      </c>
      <c r="F204">
        <v>16</v>
      </c>
      <c r="G204">
        <v>0</v>
      </c>
      <c r="H204">
        <v>3</v>
      </c>
      <c r="I204">
        <v>7</v>
      </c>
      <c r="J204">
        <v>56</v>
      </c>
      <c r="K204">
        <v>10</v>
      </c>
      <c r="L204">
        <v>40</v>
      </c>
      <c r="M204">
        <v>40</v>
      </c>
      <c r="N204">
        <v>9</v>
      </c>
      <c r="O204">
        <v>102</v>
      </c>
      <c r="P204">
        <v>9</v>
      </c>
      <c r="Q204">
        <v>5</v>
      </c>
      <c r="R204">
        <v>3</v>
      </c>
      <c r="S204">
        <v>3</v>
      </c>
      <c r="T204">
        <v>3</v>
      </c>
      <c r="U204">
        <v>3</v>
      </c>
      <c r="V204">
        <v>3</v>
      </c>
      <c r="W204">
        <v>10</v>
      </c>
      <c r="X204">
        <v>34</v>
      </c>
      <c r="Y204">
        <v>9</v>
      </c>
      <c r="Z204">
        <v>8</v>
      </c>
      <c r="AA204">
        <v>8</v>
      </c>
      <c r="AB204">
        <v>8</v>
      </c>
      <c r="AC204">
        <v>8</v>
      </c>
      <c r="AD204">
        <v>8</v>
      </c>
      <c r="AE204">
        <v>8</v>
      </c>
      <c r="AF204">
        <v>8</v>
      </c>
      <c r="AG204">
        <v>8</v>
      </c>
      <c r="AH204">
        <v>8</v>
      </c>
      <c r="AI204">
        <v>8</v>
      </c>
      <c r="AJ204">
        <v>8</v>
      </c>
      <c r="AK20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x14ac:dyDescent="0.15"/>
  <cols>
    <col min="1" max="4" width="10.5703125" hidden="1"/>
    <col min="5" max="7" width="9.140625" hidden="1" customWidth="1"/>
    <col min="8" max="8" width="3" customWidth="1"/>
    <col min="9" max="9" width="6" customWidth="1"/>
    <col min="10" max="10" width="63" customWidth="1"/>
    <col min="11" max="11" width="9" customWidth="1"/>
    <col min="12" max="12" width="39" customWidth="1"/>
    <col min="13" max="13" width="89" customWidth="1"/>
    <col min="14" max="22" width="10" customWidth="1"/>
    <col min="23" max="23" width="10.5703125" hidden="1"/>
  </cols>
  <sheetData>
    <row r="1" spans="1:23" ht="22.5" hidden="1" customHeight="1" x14ac:dyDescent="0.15">
      <c r="W1" t="s">
        <v>14</v>
      </c>
    </row>
    <row r="2" spans="1:23" ht="22.5" hidden="1" customHeight="1" x14ac:dyDescent="0.15">
      <c r="B2" t="s">
        <v>804</v>
      </c>
      <c r="C2" t="s">
        <v>805</v>
      </c>
      <c r="D2" t="s">
        <v>744</v>
      </c>
      <c r="E2">
        <f>I2-3</f>
        <v>-3</v>
      </c>
      <c r="F2">
        <f>J2</f>
        <v>0</v>
      </c>
      <c r="H2" t="s">
        <v>106</v>
      </c>
      <c r="K2" t="s">
        <v>424</v>
      </c>
      <c r="W2">
        <v>0</v>
      </c>
    </row>
    <row r="3" spans="1:23" ht="14.25" hidden="1" customHeight="1" x14ac:dyDescent="0.15">
      <c r="W3">
        <v>0</v>
      </c>
    </row>
    <row r="4" spans="1:23" ht="6.4" customHeight="1" x14ac:dyDescent="0.15">
      <c r="W4">
        <v>6</v>
      </c>
    </row>
    <row r="5" spans="1:23" ht="50.25" customHeight="1" x14ac:dyDescent="0.15">
      <c r="I5" s="1" t="s">
        <v>806</v>
      </c>
      <c r="J5" s="1"/>
      <c r="K5" s="1"/>
      <c r="L5" s="1"/>
      <c r="W5">
        <v>48</v>
      </c>
    </row>
    <row r="6" spans="1:23" ht="18" customHeight="1" x14ac:dyDescent="0.15">
      <c r="I6" s="1" t="str">
        <f>IF(org=0,"Не определено",org)</f>
        <v>КГУП "Примтеплоэнерго"</v>
      </c>
      <c r="J6" s="1"/>
      <c r="K6" s="1"/>
      <c r="L6" s="1"/>
      <c r="W6">
        <v>17</v>
      </c>
    </row>
    <row r="7" spans="1:23" ht="14.65" customHeight="1" x14ac:dyDescent="0.15">
      <c r="W7">
        <v>14</v>
      </c>
    </row>
    <row r="8" spans="1:23" ht="14.65" customHeight="1" x14ac:dyDescent="0.15">
      <c r="I8" s="1" t="s">
        <v>418</v>
      </c>
      <c r="J8" s="1"/>
      <c r="K8" s="1"/>
      <c r="L8" s="1"/>
      <c r="M8" s="1" t="s">
        <v>419</v>
      </c>
      <c r="W8">
        <v>14</v>
      </c>
    </row>
    <row r="9" spans="1:23" ht="35.65" customHeight="1" x14ac:dyDescent="0.15">
      <c r="E9" t="s">
        <v>735</v>
      </c>
      <c r="F9" t="s">
        <v>741</v>
      </c>
      <c r="I9" t="s">
        <v>90</v>
      </c>
      <c r="J9" t="s">
        <v>420</v>
      </c>
      <c r="K9" t="s">
        <v>683</v>
      </c>
      <c r="L9" t="s">
        <v>421</v>
      </c>
      <c r="M9" s="1"/>
      <c r="W9">
        <v>34</v>
      </c>
    </row>
    <row r="10" spans="1:23" ht="35.65" customHeight="1" x14ac:dyDescent="0.15">
      <c r="B10" t="s">
        <v>807</v>
      </c>
      <c r="C10" t="s">
        <v>808</v>
      </c>
      <c r="D10" t="s">
        <v>744</v>
      </c>
      <c r="E10" t="s">
        <v>745</v>
      </c>
      <c r="F10" t="s">
        <v>745</v>
      </c>
      <c r="I10" t="s">
        <v>101</v>
      </c>
      <c r="J10" t="s">
        <v>809</v>
      </c>
      <c r="K10" t="s">
        <v>424</v>
      </c>
      <c r="M10" t="s">
        <v>810</v>
      </c>
      <c r="W10">
        <v>34</v>
      </c>
    </row>
    <row r="11" spans="1:23" ht="50.25" customHeight="1" x14ac:dyDescent="0.15">
      <c r="B11" t="s">
        <v>811</v>
      </c>
      <c r="C11" t="s">
        <v>812</v>
      </c>
      <c r="D11" t="s">
        <v>744</v>
      </c>
      <c r="E11" t="s">
        <v>745</v>
      </c>
      <c r="F11" t="s">
        <v>745</v>
      </c>
      <c r="I11" t="s">
        <v>105</v>
      </c>
      <c r="J11" t="s">
        <v>813</v>
      </c>
      <c r="K11" t="s">
        <v>424</v>
      </c>
      <c r="M11" t="s">
        <v>810</v>
      </c>
      <c r="W11">
        <v>48</v>
      </c>
    </row>
    <row r="12" spans="1:23" ht="48.2" customHeight="1" x14ac:dyDescent="0.15">
      <c r="B12" t="s">
        <v>814</v>
      </c>
      <c r="C12" t="s">
        <v>815</v>
      </c>
      <c r="D12" t="s">
        <v>744</v>
      </c>
      <c r="E12" t="s">
        <v>745</v>
      </c>
      <c r="F12" t="s">
        <v>745</v>
      </c>
      <c r="I12" t="s">
        <v>92</v>
      </c>
      <c r="J12" t="s">
        <v>816</v>
      </c>
      <c r="K12" t="s">
        <v>424</v>
      </c>
      <c r="M12" t="s">
        <v>817</v>
      </c>
      <c r="W12">
        <v>46</v>
      </c>
    </row>
    <row r="13" spans="1:23" ht="14.65" customHeight="1" x14ac:dyDescent="0.15">
      <c r="J13" t="s">
        <v>818</v>
      </c>
      <c r="W13">
        <v>14</v>
      </c>
    </row>
    <row r="14" spans="1:23" ht="14.65" customHeight="1" x14ac:dyDescent="0.15">
      <c r="W14">
        <v>14</v>
      </c>
    </row>
    <row r="15" spans="1:23" ht="14.65" customHeight="1" x14ac:dyDescent="0.15">
      <c r="J15" s="1"/>
      <c r="K15" s="1"/>
      <c r="L15" s="1"/>
      <c r="M15" s="1"/>
      <c r="W15">
        <v>14</v>
      </c>
    </row>
    <row r="16" spans="1:23" ht="21" hidden="1" customHeight="1" x14ac:dyDescent="0.15">
      <c r="A16" t="s">
        <v>84</v>
      </c>
      <c r="B16">
        <v>9</v>
      </c>
      <c r="C16">
        <v>9</v>
      </c>
      <c r="D16">
        <v>9</v>
      </c>
      <c r="E16" t="s">
        <v>139</v>
      </c>
      <c r="F16" t="s">
        <v>139</v>
      </c>
      <c r="H16">
        <v>3</v>
      </c>
      <c r="I16">
        <v>6</v>
      </c>
      <c r="J16">
        <v>63</v>
      </c>
      <c r="K16">
        <v>9</v>
      </c>
      <c r="L16">
        <v>39</v>
      </c>
      <c r="M16">
        <v>89</v>
      </c>
      <c r="N16">
        <v>10</v>
      </c>
      <c r="O16">
        <v>10</v>
      </c>
      <c r="P16">
        <v>10</v>
      </c>
      <c r="Q16">
        <v>10</v>
      </c>
      <c r="R16">
        <v>10</v>
      </c>
      <c r="S16">
        <v>10</v>
      </c>
      <c r="T16">
        <v>10</v>
      </c>
      <c r="U16">
        <v>10</v>
      </c>
      <c r="V16">
        <v>10</v>
      </c>
      <c r="W1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6"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10.42578125" hidden="1" customWidth="1"/>
  </cols>
  <sheetData>
    <row r="1" spans="5:32" ht="22.5" hidden="1" customHeight="1" x14ac:dyDescent="0.15">
      <c r="H1">
        <v>4</v>
      </c>
      <c r="I1">
        <v>4</v>
      </c>
      <c r="AF1" t="s">
        <v>14</v>
      </c>
    </row>
    <row r="2" spans="5:32" ht="22.5" hidden="1" customHeight="1" x14ac:dyDescent="0.15">
      <c r="G2" t="s">
        <v>669</v>
      </c>
      <c r="J2" t="s">
        <v>819</v>
      </c>
      <c r="AF2">
        <v>0</v>
      </c>
    </row>
    <row r="3" spans="5:32" ht="11.25" hidden="1" customHeight="1" x14ac:dyDescent="0.15">
      <c r="AF3">
        <v>0</v>
      </c>
    </row>
    <row r="4" spans="5:32" ht="11.25" hidden="1" customHeight="1" x14ac:dyDescent="0.15">
      <c r="J4">
        <v>4</v>
      </c>
      <c r="AF4">
        <v>0</v>
      </c>
    </row>
    <row r="5" spans="5:32" ht="11.45" customHeight="1" x14ac:dyDescent="0.15">
      <c r="AF5">
        <v>11</v>
      </c>
    </row>
    <row r="6" spans="5:32" ht="31.5" customHeight="1" x14ac:dyDescent="0.15">
      <c r="E6" s="1" t="s">
        <v>820</v>
      </c>
      <c r="F6" s="1"/>
      <c r="G6" s="1"/>
      <c r="H6" s="1"/>
      <c r="I6" s="1"/>
      <c r="AF6">
        <v>30</v>
      </c>
    </row>
    <row r="7" spans="5:32" ht="11.45" customHeight="1" x14ac:dyDescent="0.15">
      <c r="E7" s="1" t="str">
        <f>IF(org=0,"Не определено",org)</f>
        <v>КГУП "Примтеплоэнерго"</v>
      </c>
      <c r="F7" s="1"/>
      <c r="G7" s="1"/>
      <c r="H7" s="1"/>
      <c r="I7" s="1"/>
      <c r="AF7">
        <v>11</v>
      </c>
    </row>
    <row r="8" spans="5:32" ht="11.45" customHeight="1" x14ac:dyDescent="0.15">
      <c r="AF8">
        <v>11</v>
      </c>
    </row>
    <row r="9" spans="5:32" ht="4.1500000000000004" customHeight="1" x14ac:dyDescent="0.15">
      <c r="I9" t="s">
        <v>173</v>
      </c>
      <c r="AF9">
        <v>4</v>
      </c>
    </row>
    <row r="10" spans="5:32" ht="11.45" customHeight="1" x14ac:dyDescent="0.15">
      <c r="F10" s="1" t="s">
        <v>165</v>
      </c>
      <c r="G10" s="1"/>
      <c r="H10" t="str">
        <f>IF(H9="","",INDEX(DIFFERENTIATION_UNMERGE_VD,MATCH(H9,DIFFERENTIATION_ID_DIFF,0)))</f>
        <v/>
      </c>
      <c r="I10">
        <f>IF(I9="","",INDEX(DIFFERENTIATION_UNMERGE_VD,MATCH(I9,DIFFERENTIATION_ID_DIFF,0)))</f>
        <v>0</v>
      </c>
      <c r="J10" s="1"/>
      <c r="AF10">
        <v>11</v>
      </c>
    </row>
    <row r="11" spans="5:32" ht="11.45" customHeight="1" x14ac:dyDescent="0.15">
      <c r="F11" s="1" t="s">
        <v>681</v>
      </c>
      <c r="G11" s="1"/>
      <c r="H11" t="str">
        <f>IF(H9="","",INDEX(DIFFERENTIATION_UNMERGE_AREA,MATCH(H9,DIFFERENTIATION_ID_DIFF,0)))</f>
        <v/>
      </c>
      <c r="I11" t="str">
        <f>IF(I9="","",INDEX(DIFFERENTIATION_UNMERGE_AREA,MATCH(I9,DIFFERENTIATION_ID_DIFF,0)))</f>
        <v/>
      </c>
      <c r="J11" s="1"/>
      <c r="AF11">
        <v>11</v>
      </c>
    </row>
    <row r="12" spans="5:32" ht="1.1499999999999999" customHeight="1" x14ac:dyDescent="0.15">
      <c r="F12" s="1" t="s">
        <v>682</v>
      </c>
      <c r="G12" s="1"/>
      <c r="H12" t="str">
        <f>IF(H9="","",INDEX(DIFFERENTIATION_UNMERGE_SYSTEM,MATCH(H9,DIFFERENTIATION_ID_DIFF,0)))</f>
        <v/>
      </c>
      <c r="I12" t="str">
        <f>IF(I9="","",INDEX(DIFFERENTIATION_UNMERGE_SYSTEM,MATCH(I9,DIFFERENTIATION_ID_DIFF,0)))</f>
        <v>без дифференциации</v>
      </c>
      <c r="J12" s="1"/>
      <c r="AF12">
        <v>1</v>
      </c>
    </row>
    <row r="13" spans="5:32" ht="11.45" customHeight="1" x14ac:dyDescent="0.15">
      <c r="E13" s="1" t="s">
        <v>418</v>
      </c>
      <c r="F13" s="1"/>
      <c r="G13" s="1"/>
      <c r="J13" s="1"/>
      <c r="AF13">
        <v>11</v>
      </c>
    </row>
    <row r="14" spans="5:32" ht="24" customHeight="1" x14ac:dyDescent="0.15">
      <c r="E14" t="s">
        <v>90</v>
      </c>
      <c r="F14" t="s">
        <v>420</v>
      </c>
      <c r="G14" t="s">
        <v>683</v>
      </c>
      <c r="H14" t="s">
        <v>421</v>
      </c>
      <c r="I14" t="s">
        <v>421</v>
      </c>
      <c r="J14" s="1"/>
      <c r="AF14">
        <v>23</v>
      </c>
    </row>
    <row r="15" spans="5:32" ht="19.899999999999999" customHeight="1" x14ac:dyDescent="0.15">
      <c r="E15" t="s">
        <v>101</v>
      </c>
      <c r="F15" t="s">
        <v>821</v>
      </c>
      <c r="G15" t="s">
        <v>669</v>
      </c>
      <c r="J15" t="s">
        <v>822</v>
      </c>
      <c r="K15" t="s">
        <v>747</v>
      </c>
      <c r="AF15">
        <v>19</v>
      </c>
    </row>
    <row r="16" spans="5:32" ht="35.65" customHeight="1" x14ac:dyDescent="0.15">
      <c r="E16" t="s">
        <v>105</v>
      </c>
      <c r="F16" t="s">
        <v>823</v>
      </c>
      <c r="G16" t="s">
        <v>669</v>
      </c>
      <c r="H16">
        <f>SUM(H17,H20:H32)</f>
        <v>0</v>
      </c>
      <c r="I16">
        <f>SUM(I17,I20,I23,I26,I29:I32)</f>
        <v>0</v>
      </c>
      <c r="J16" t="s">
        <v>824</v>
      </c>
      <c r="K16" t="s">
        <v>747</v>
      </c>
      <c r="AF16">
        <v>34</v>
      </c>
    </row>
    <row r="17" spans="5:32" ht="19.899999999999999" customHeight="1" x14ac:dyDescent="0.15">
      <c r="E17" t="s">
        <v>825</v>
      </c>
      <c r="F17" t="s">
        <v>826</v>
      </c>
      <c r="G17" t="s">
        <v>669</v>
      </c>
      <c r="J17" t="s">
        <v>827</v>
      </c>
      <c r="AF17">
        <v>19</v>
      </c>
    </row>
    <row r="18" spans="5:32" ht="24" customHeight="1" x14ac:dyDescent="0.15">
      <c r="E18" t="s">
        <v>828</v>
      </c>
      <c r="F18" t="s">
        <v>829</v>
      </c>
      <c r="G18" t="s">
        <v>669</v>
      </c>
      <c r="J18" t="s">
        <v>830</v>
      </c>
      <c r="AF18">
        <v>23</v>
      </c>
    </row>
    <row r="19" spans="5:32" ht="35.65" customHeight="1" x14ac:dyDescent="0.15">
      <c r="E19" t="s">
        <v>831</v>
      </c>
      <c r="F19" t="s">
        <v>832</v>
      </c>
      <c r="G19" t="s">
        <v>669</v>
      </c>
      <c r="AF19">
        <v>34</v>
      </c>
    </row>
    <row r="20" spans="5:32" ht="19.899999999999999" customHeight="1" x14ac:dyDescent="0.15">
      <c r="E20" t="s">
        <v>425</v>
      </c>
      <c r="F20" t="s">
        <v>833</v>
      </c>
      <c r="G20" t="s">
        <v>669</v>
      </c>
      <c r="J20" t="s">
        <v>834</v>
      </c>
      <c r="AF20">
        <v>19</v>
      </c>
    </row>
    <row r="21" spans="5:32" ht="19.899999999999999" customHeight="1" x14ac:dyDescent="0.15">
      <c r="E21" t="s">
        <v>835</v>
      </c>
      <c r="F21" t="s">
        <v>836</v>
      </c>
      <c r="G21" t="s">
        <v>669</v>
      </c>
      <c r="AF21">
        <v>19</v>
      </c>
    </row>
    <row r="22" spans="5:32" ht="19.899999999999999" customHeight="1" x14ac:dyDescent="0.15">
      <c r="E22" t="s">
        <v>837</v>
      </c>
      <c r="F22" t="s">
        <v>838</v>
      </c>
      <c r="G22" t="s">
        <v>669</v>
      </c>
      <c r="AF22">
        <v>19</v>
      </c>
    </row>
    <row r="23" spans="5:32" ht="24" customHeight="1" x14ac:dyDescent="0.15">
      <c r="E23" t="s">
        <v>428</v>
      </c>
      <c r="F23" t="s">
        <v>839</v>
      </c>
      <c r="G23" t="s">
        <v>669</v>
      </c>
      <c r="J23" t="s">
        <v>840</v>
      </c>
      <c r="AF23">
        <v>23</v>
      </c>
    </row>
    <row r="24" spans="5:32" ht="19.899999999999999" customHeight="1" x14ac:dyDescent="0.15">
      <c r="E24" t="s">
        <v>841</v>
      </c>
      <c r="F24" t="s">
        <v>842</v>
      </c>
      <c r="G24" t="s">
        <v>669</v>
      </c>
      <c r="AF24">
        <v>19</v>
      </c>
    </row>
    <row r="25" spans="5:32" ht="35.65" customHeight="1" x14ac:dyDescent="0.15">
      <c r="E25" t="s">
        <v>843</v>
      </c>
      <c r="F25" t="s">
        <v>844</v>
      </c>
      <c r="G25" t="s">
        <v>669</v>
      </c>
      <c r="AF25">
        <v>34</v>
      </c>
    </row>
    <row r="26" spans="5:32" ht="24" customHeight="1" x14ac:dyDescent="0.15">
      <c r="E26" t="s">
        <v>845</v>
      </c>
      <c r="F26" t="s">
        <v>846</v>
      </c>
      <c r="G26" t="s">
        <v>669</v>
      </c>
      <c r="J26" t="s">
        <v>847</v>
      </c>
      <c r="AF26">
        <v>23</v>
      </c>
    </row>
    <row r="27" spans="5:32" ht="19.899999999999999" customHeight="1" x14ac:dyDescent="0.15">
      <c r="E27" t="s">
        <v>848</v>
      </c>
      <c r="F27" t="s">
        <v>849</v>
      </c>
      <c r="G27" t="s">
        <v>669</v>
      </c>
      <c r="AF27">
        <v>19</v>
      </c>
    </row>
    <row r="28" spans="5:32" ht="19.899999999999999" customHeight="1" x14ac:dyDescent="0.15">
      <c r="E28" t="s">
        <v>850</v>
      </c>
      <c r="F28" t="s">
        <v>851</v>
      </c>
      <c r="G28" t="s">
        <v>669</v>
      </c>
      <c r="AF28">
        <v>19</v>
      </c>
    </row>
    <row r="29" spans="5:32" ht="19.899999999999999" customHeight="1" x14ac:dyDescent="0.15">
      <c r="E29" t="s">
        <v>852</v>
      </c>
      <c r="F29" t="s">
        <v>853</v>
      </c>
      <c r="G29" t="s">
        <v>669</v>
      </c>
      <c r="AF29">
        <v>19</v>
      </c>
    </row>
    <row r="30" spans="5:32" ht="19.899999999999999" customHeight="1" x14ac:dyDescent="0.15">
      <c r="E30" t="s">
        <v>854</v>
      </c>
      <c r="F30" t="s">
        <v>855</v>
      </c>
      <c r="G30" t="s">
        <v>669</v>
      </c>
      <c r="AF30">
        <v>19</v>
      </c>
    </row>
    <row r="31" spans="5:32" ht="19.899999999999999" customHeight="1" x14ac:dyDescent="0.15">
      <c r="E31" t="s">
        <v>856</v>
      </c>
      <c r="F31" t="s">
        <v>857</v>
      </c>
      <c r="G31" t="s">
        <v>669</v>
      </c>
      <c r="AF31">
        <v>19</v>
      </c>
    </row>
    <row r="32" spans="5:32" ht="35.65" customHeight="1" x14ac:dyDescent="0.15">
      <c r="E32" t="s">
        <v>858</v>
      </c>
      <c r="F32" t="s">
        <v>859</v>
      </c>
      <c r="G32" t="s">
        <v>669</v>
      </c>
      <c r="H32">
        <f>SUM(H33:H34)</f>
        <v>0</v>
      </c>
      <c r="I32">
        <f>SUM(I33:I34)</f>
        <v>0</v>
      </c>
      <c r="J32" t="s">
        <v>860</v>
      </c>
      <c r="AF32">
        <v>34</v>
      </c>
    </row>
    <row r="33" spans="1:32" ht="1.1499999999999999" customHeight="1" x14ac:dyDescent="0.15">
      <c r="E33" t="str">
        <f>E32&amp;".0"</f>
        <v>2.8.0</v>
      </c>
      <c r="AF33">
        <v>1</v>
      </c>
    </row>
    <row r="34" spans="1:32" ht="19.899999999999999" customHeight="1" x14ac:dyDescent="0.15">
      <c r="F34" t="s">
        <v>694</v>
      </c>
      <c r="J34" t="s">
        <v>861</v>
      </c>
      <c r="AF34">
        <v>19</v>
      </c>
    </row>
    <row r="35" spans="1:32" ht="60" customHeight="1" x14ac:dyDescent="0.15">
      <c r="E35" t="s">
        <v>862</v>
      </c>
      <c r="F35" t="s">
        <v>863</v>
      </c>
      <c r="G35" t="s">
        <v>669</v>
      </c>
      <c r="J35" t="s">
        <v>864</v>
      </c>
      <c r="AF35">
        <v>57</v>
      </c>
    </row>
    <row r="36" spans="1:32" ht="24" customHeight="1" x14ac:dyDescent="0.15">
      <c r="A36" t="s">
        <v>695</v>
      </c>
      <c r="E36" t="s">
        <v>92</v>
      </c>
      <c r="F36" t="s">
        <v>865</v>
      </c>
      <c r="G36" t="s">
        <v>669</v>
      </c>
      <c r="J36" t="s">
        <v>866</v>
      </c>
      <c r="AF36">
        <v>23</v>
      </c>
    </row>
    <row r="37" spans="1:32" ht="35.65" customHeight="1" x14ac:dyDescent="0.15">
      <c r="E37" t="s">
        <v>442</v>
      </c>
      <c r="F37" t="s">
        <v>867</v>
      </c>
      <c r="AF37">
        <v>34</v>
      </c>
    </row>
    <row r="38" spans="1:32" ht="19.899999999999999" customHeight="1" x14ac:dyDescent="0.15">
      <c r="E38" t="s">
        <v>93</v>
      </c>
      <c r="F38" t="s">
        <v>868</v>
      </c>
      <c r="G38" t="s">
        <v>669</v>
      </c>
      <c r="J38" t="s">
        <v>869</v>
      </c>
      <c r="AF38">
        <v>19</v>
      </c>
    </row>
    <row r="39" spans="1:32" ht="24" customHeight="1" x14ac:dyDescent="0.15">
      <c r="E39" t="s">
        <v>870</v>
      </c>
      <c r="F39" t="s">
        <v>871</v>
      </c>
      <c r="G39" t="s">
        <v>669</v>
      </c>
      <c r="J39" t="s">
        <v>872</v>
      </c>
      <c r="AF39">
        <v>23</v>
      </c>
    </row>
    <row r="40" spans="1:32" ht="24" customHeight="1" x14ac:dyDescent="0.15">
      <c r="E40" t="s">
        <v>873</v>
      </c>
      <c r="F40" t="s">
        <v>874</v>
      </c>
      <c r="G40" t="s">
        <v>669</v>
      </c>
      <c r="J40" t="s">
        <v>875</v>
      </c>
      <c r="AF40">
        <v>23</v>
      </c>
    </row>
    <row r="41" spans="1:32" ht="24" customHeight="1" x14ac:dyDescent="0.15">
      <c r="E41" t="s">
        <v>876</v>
      </c>
      <c r="F41" t="s">
        <v>877</v>
      </c>
      <c r="G41" t="s">
        <v>669</v>
      </c>
      <c r="J41" t="s">
        <v>878</v>
      </c>
      <c r="AF41">
        <v>23</v>
      </c>
    </row>
    <row r="42" spans="1:32" ht="24" customHeight="1" x14ac:dyDescent="0.15">
      <c r="E42" t="s">
        <v>879</v>
      </c>
      <c r="F42" t="s">
        <v>880</v>
      </c>
      <c r="G42" t="s">
        <v>669</v>
      </c>
      <c r="J42" t="s">
        <v>881</v>
      </c>
      <c r="AF42">
        <v>23</v>
      </c>
    </row>
    <row r="43" spans="1:32" ht="35.65" customHeight="1" x14ac:dyDescent="0.15">
      <c r="C43" t="s">
        <v>705</v>
      </c>
      <c r="E43" t="s">
        <v>120</v>
      </c>
      <c r="F43" t="s">
        <v>746</v>
      </c>
      <c r="G43" t="s">
        <v>882</v>
      </c>
      <c r="J43" t="s">
        <v>883</v>
      </c>
      <c r="AF43">
        <v>34</v>
      </c>
    </row>
    <row r="44" spans="1:32" ht="35.65" customHeight="1" x14ac:dyDescent="0.15">
      <c r="E44" t="s">
        <v>94</v>
      </c>
      <c r="F44" t="s">
        <v>884</v>
      </c>
      <c r="G44" t="s">
        <v>885</v>
      </c>
      <c r="J44" t="s">
        <v>886</v>
      </c>
      <c r="AF44">
        <v>34</v>
      </c>
    </row>
    <row r="45" spans="1:32" ht="24" customHeight="1" x14ac:dyDescent="0.15">
      <c r="E45" t="s">
        <v>95</v>
      </c>
      <c r="F45" t="s">
        <v>887</v>
      </c>
      <c r="G45" t="s">
        <v>888</v>
      </c>
      <c r="J45" t="s">
        <v>889</v>
      </c>
      <c r="AF45">
        <v>23</v>
      </c>
    </row>
    <row r="46" spans="1:32" ht="19.899999999999999" customHeight="1" x14ac:dyDescent="0.15">
      <c r="E46" t="s">
        <v>134</v>
      </c>
      <c r="F46" t="s">
        <v>890</v>
      </c>
      <c r="G46" t="s">
        <v>707</v>
      </c>
      <c r="AF46">
        <v>19</v>
      </c>
    </row>
    <row r="47" spans="1:32" ht="11.45" customHeight="1" x14ac:dyDescent="0.15">
      <c r="AF47">
        <v>11</v>
      </c>
    </row>
    <row r="48" spans="1:32" ht="11.45" customHeight="1" x14ac:dyDescent="0.15">
      <c r="AF48">
        <v>11</v>
      </c>
    </row>
    <row r="49" spans="32:32" ht="11.45" customHeight="1" x14ac:dyDescent="0.15">
      <c r="AF49">
        <v>11</v>
      </c>
    </row>
    <row r="50" spans="32:32" ht="11.45" customHeight="1" x14ac:dyDescent="0.15">
      <c r="AF50">
        <v>11</v>
      </c>
    </row>
    <row r="51" spans="32:32" ht="11.45" customHeight="1" x14ac:dyDescent="0.15">
      <c r="AF51">
        <v>11</v>
      </c>
    </row>
    <row r="52" spans="32:32" ht="11.45" customHeight="1" x14ac:dyDescent="0.15">
      <c r="AF52">
        <v>11</v>
      </c>
    </row>
    <row r="53" spans="32:32" ht="11.45" customHeight="1" x14ac:dyDescent="0.15">
      <c r="AF53">
        <v>11</v>
      </c>
    </row>
    <row r="54" spans="32:32" ht="11.45" customHeight="1" x14ac:dyDescent="0.15">
      <c r="AF54">
        <v>11</v>
      </c>
    </row>
    <row r="55" spans="32:32" ht="11.45" customHeight="1" x14ac:dyDescent="0.15">
      <c r="AF55">
        <v>11</v>
      </c>
    </row>
    <row r="56" spans="32:32" ht="11.45" customHeight="1" x14ac:dyDescent="0.15">
      <c r="AF56">
        <v>11</v>
      </c>
    </row>
    <row r="57" spans="32:32" ht="11.45" customHeight="1" x14ac:dyDescent="0.15">
      <c r="AF57">
        <v>11</v>
      </c>
    </row>
    <row r="58" spans="32:32" ht="11.45" customHeight="1" x14ac:dyDescent="0.15">
      <c r="AF58">
        <v>11</v>
      </c>
    </row>
    <row r="59" spans="32:32" ht="11.45" customHeight="1" x14ac:dyDescent="0.15">
      <c r="AF59">
        <v>11</v>
      </c>
    </row>
    <row r="60" spans="32:32" ht="11.45" customHeight="1" x14ac:dyDescent="0.15">
      <c r="AF60">
        <v>11</v>
      </c>
    </row>
    <row r="61" spans="32:32" ht="11.45" customHeight="1" x14ac:dyDescent="0.15">
      <c r="AF61">
        <v>11</v>
      </c>
    </row>
    <row r="62" spans="32:32" ht="11.45" customHeight="1" x14ac:dyDescent="0.15">
      <c r="AF62">
        <v>11</v>
      </c>
    </row>
    <row r="63" spans="32:32" ht="11.45" customHeight="1" x14ac:dyDescent="0.15">
      <c r="AF63">
        <v>11</v>
      </c>
    </row>
    <row r="64" spans="32:32" ht="11.45" customHeight="1" x14ac:dyDescent="0.15">
      <c r="AF64">
        <v>11</v>
      </c>
    </row>
    <row r="65" spans="32:32" ht="11.45" customHeight="1" x14ac:dyDescent="0.15">
      <c r="AF65">
        <v>11</v>
      </c>
    </row>
    <row r="66" spans="32:32" ht="11.45" customHeight="1" x14ac:dyDescent="0.15">
      <c r="AF66">
        <v>11</v>
      </c>
    </row>
    <row r="67" spans="32:32" ht="11.45" customHeight="1" x14ac:dyDescent="0.15">
      <c r="AF67">
        <v>11</v>
      </c>
    </row>
    <row r="68" spans="32:32" ht="11.45" customHeight="1" x14ac:dyDescent="0.15">
      <c r="AF68">
        <v>11</v>
      </c>
    </row>
    <row r="69" spans="32:32" ht="11.45" customHeight="1" x14ac:dyDescent="0.15">
      <c r="AF69">
        <v>11</v>
      </c>
    </row>
    <row r="70" spans="32:32" ht="11.45" customHeight="1" x14ac:dyDescent="0.15">
      <c r="AF70">
        <v>11</v>
      </c>
    </row>
    <row r="71" spans="32:32" ht="11.45" customHeight="1" x14ac:dyDescent="0.15">
      <c r="AF71">
        <v>11</v>
      </c>
    </row>
    <row r="72" spans="32:32" ht="11.45" customHeight="1" x14ac:dyDescent="0.15">
      <c r="AF72">
        <v>11</v>
      </c>
    </row>
    <row r="73" spans="32:32" ht="11.45" customHeight="1" x14ac:dyDescent="0.15">
      <c r="AF73">
        <v>11</v>
      </c>
    </row>
    <row r="74" spans="32:32" ht="11.45" customHeight="1" x14ac:dyDescent="0.15">
      <c r="AF74">
        <v>11</v>
      </c>
    </row>
    <row r="75" spans="32:32" ht="11.45" customHeight="1" x14ac:dyDescent="0.15">
      <c r="AF75">
        <v>11</v>
      </c>
    </row>
    <row r="76" spans="32:32" ht="11.45" customHeight="1" x14ac:dyDescent="0.15">
      <c r="AF76">
        <v>11</v>
      </c>
    </row>
    <row r="77" spans="32:32" ht="11.45" customHeight="1" x14ac:dyDescent="0.15">
      <c r="AF77">
        <v>11</v>
      </c>
    </row>
    <row r="78" spans="32:32" ht="11.45" customHeight="1" x14ac:dyDescent="0.15">
      <c r="AF78">
        <v>11</v>
      </c>
    </row>
    <row r="79" spans="32:32" ht="11.45" customHeight="1" x14ac:dyDescent="0.15">
      <c r="AF79">
        <v>11</v>
      </c>
    </row>
    <row r="80" spans="32:32" ht="11.45" customHeight="1" x14ac:dyDescent="0.15">
      <c r="AF80">
        <v>11</v>
      </c>
    </row>
    <row r="81" spans="32:32" ht="11.45" customHeight="1" x14ac:dyDescent="0.15">
      <c r="AF81">
        <v>11</v>
      </c>
    </row>
    <row r="82" spans="32:32" ht="11.45" customHeight="1" x14ac:dyDescent="0.15">
      <c r="AF82">
        <v>11</v>
      </c>
    </row>
    <row r="83" spans="32:32" ht="11.45" customHeight="1" x14ac:dyDescent="0.15">
      <c r="AF83">
        <v>11</v>
      </c>
    </row>
    <row r="84" spans="32:32" ht="11.45" customHeight="1" x14ac:dyDescent="0.15">
      <c r="AF84">
        <v>11</v>
      </c>
    </row>
    <row r="85" spans="32:32" ht="11.45" customHeight="1" x14ac:dyDescent="0.15">
      <c r="AF85">
        <v>11</v>
      </c>
    </row>
    <row r="86" spans="32:32" ht="11.45" customHeight="1" x14ac:dyDescent="0.15">
      <c r="AF86">
        <v>11</v>
      </c>
    </row>
    <row r="87" spans="32:32" ht="11.45" customHeight="1" x14ac:dyDescent="0.15">
      <c r="AF87">
        <v>11</v>
      </c>
    </row>
    <row r="88" spans="32:32" ht="11.45" customHeight="1" x14ac:dyDescent="0.15">
      <c r="AF88">
        <v>11</v>
      </c>
    </row>
    <row r="89" spans="32:32" ht="11.45" customHeight="1" x14ac:dyDescent="0.15">
      <c r="AF89">
        <v>11</v>
      </c>
    </row>
    <row r="90" spans="32:32" ht="11.45" customHeight="1" x14ac:dyDescent="0.15">
      <c r="AF90">
        <v>11</v>
      </c>
    </row>
    <row r="91" spans="32:32" ht="11.45" customHeight="1" x14ac:dyDescent="0.15">
      <c r="AF91">
        <v>11</v>
      </c>
    </row>
    <row r="92" spans="32:32" ht="11.45" customHeight="1" x14ac:dyDescent="0.15">
      <c r="AF92">
        <v>11</v>
      </c>
    </row>
    <row r="93" spans="32:32" ht="11.45" customHeight="1" x14ac:dyDescent="0.15">
      <c r="AF93">
        <v>11</v>
      </c>
    </row>
    <row r="94" spans="32:32" ht="11.45" customHeight="1" x14ac:dyDescent="0.15">
      <c r="AF94">
        <v>11</v>
      </c>
    </row>
    <row r="95" spans="32:32" ht="11.45" customHeight="1" x14ac:dyDescent="0.15">
      <c r="AF95">
        <v>11</v>
      </c>
    </row>
    <row r="96" spans="32:32" ht="11.45" customHeight="1" x14ac:dyDescent="0.15">
      <c r="AF96">
        <v>11</v>
      </c>
    </row>
    <row r="97" spans="32:32" ht="11.45" customHeight="1" x14ac:dyDescent="0.15">
      <c r="AF97">
        <v>11</v>
      </c>
    </row>
    <row r="98" spans="32:32" ht="11.45" customHeight="1" x14ac:dyDescent="0.15">
      <c r="AF98">
        <v>11</v>
      </c>
    </row>
    <row r="99" spans="32:32" ht="11.45" customHeight="1" x14ac:dyDescent="0.15">
      <c r="AF99">
        <v>11</v>
      </c>
    </row>
    <row r="100" spans="32:32" ht="11.45" customHeight="1" x14ac:dyDescent="0.15">
      <c r="AF100">
        <v>11</v>
      </c>
    </row>
    <row r="101" spans="32:32" ht="11.45" customHeight="1" x14ac:dyDescent="0.15">
      <c r="AF101">
        <v>11</v>
      </c>
    </row>
    <row r="102" spans="32:32" ht="11.45" customHeight="1" x14ac:dyDescent="0.15">
      <c r="AF102">
        <v>11</v>
      </c>
    </row>
    <row r="103" spans="32:32" ht="11.45" customHeight="1" x14ac:dyDescent="0.15">
      <c r="AF103">
        <v>11</v>
      </c>
    </row>
    <row r="104" spans="32:32" ht="11.45" customHeight="1" x14ac:dyDescent="0.15">
      <c r="AF104">
        <v>11</v>
      </c>
    </row>
    <row r="105" spans="32:32" ht="11.45" customHeight="1" x14ac:dyDescent="0.15">
      <c r="AF105">
        <v>11</v>
      </c>
    </row>
    <row r="106" spans="32:32" ht="11.45" customHeight="1" x14ac:dyDescent="0.15">
      <c r="AF106">
        <v>11</v>
      </c>
    </row>
    <row r="107" spans="32:32" ht="11.45" customHeight="1" x14ac:dyDescent="0.15">
      <c r="AF107">
        <v>11</v>
      </c>
    </row>
    <row r="108" spans="32:32" ht="11.45" customHeight="1" x14ac:dyDescent="0.15">
      <c r="AF108">
        <v>11</v>
      </c>
    </row>
    <row r="109" spans="32:32" ht="11.45" customHeight="1" x14ac:dyDescent="0.15">
      <c r="AF109">
        <v>11</v>
      </c>
    </row>
    <row r="110" spans="32:32" ht="11.45" customHeight="1" x14ac:dyDescent="0.15">
      <c r="AF110">
        <v>11</v>
      </c>
    </row>
    <row r="111" spans="32:32" ht="11.45" customHeight="1" x14ac:dyDescent="0.15">
      <c r="AF111">
        <v>11</v>
      </c>
    </row>
    <row r="112" spans="32:32" ht="11.45" customHeight="1" x14ac:dyDescent="0.15">
      <c r="AF112">
        <v>11</v>
      </c>
    </row>
    <row r="113" spans="32:32" ht="11.45" customHeight="1" x14ac:dyDescent="0.15">
      <c r="AF113">
        <v>11</v>
      </c>
    </row>
    <row r="114" spans="32:32" ht="11.45" customHeight="1" x14ac:dyDescent="0.15">
      <c r="AF114">
        <v>11</v>
      </c>
    </row>
    <row r="115" spans="32:32" ht="11.45" customHeight="1" x14ac:dyDescent="0.15">
      <c r="AF115">
        <v>11</v>
      </c>
    </row>
    <row r="116" spans="32:32" ht="11.45" customHeight="1" x14ac:dyDescent="0.15">
      <c r="AF116">
        <v>11</v>
      </c>
    </row>
    <row r="117" spans="32:32" ht="11.45" customHeight="1" x14ac:dyDescent="0.15">
      <c r="AF117">
        <v>11</v>
      </c>
    </row>
    <row r="118" spans="32:32" ht="11.45" customHeight="1" x14ac:dyDescent="0.15">
      <c r="AF118">
        <v>11</v>
      </c>
    </row>
    <row r="119" spans="32:32" ht="11.45" customHeight="1" x14ac:dyDescent="0.15">
      <c r="AF119">
        <v>11</v>
      </c>
    </row>
    <row r="120" spans="32:32" ht="11.45" customHeight="1" x14ac:dyDescent="0.15">
      <c r="AF120">
        <v>11</v>
      </c>
    </row>
    <row r="121" spans="32:32" ht="11.45" customHeight="1" x14ac:dyDescent="0.15">
      <c r="AF121">
        <v>11</v>
      </c>
    </row>
    <row r="122" spans="32:32" ht="11.45" customHeight="1" x14ac:dyDescent="0.15">
      <c r="AF122">
        <v>11</v>
      </c>
    </row>
    <row r="123" spans="32:32" ht="11.45" customHeight="1" x14ac:dyDescent="0.15">
      <c r="AF123">
        <v>11</v>
      </c>
    </row>
    <row r="124" spans="32:32" ht="11.45" customHeight="1" x14ac:dyDescent="0.15">
      <c r="AF124">
        <v>11</v>
      </c>
    </row>
    <row r="125" spans="32:32" ht="11.45" customHeight="1" x14ac:dyDescent="0.15">
      <c r="AF125">
        <v>11</v>
      </c>
    </row>
    <row r="126" spans="32:32" ht="11.45" customHeight="1" x14ac:dyDescent="0.15">
      <c r="AF126">
        <v>11</v>
      </c>
    </row>
    <row r="127" spans="32:32" ht="11.45" customHeight="1" x14ac:dyDescent="0.15">
      <c r="AF127">
        <v>11</v>
      </c>
    </row>
    <row r="128" spans="32:32" ht="11.45" customHeight="1" x14ac:dyDescent="0.15">
      <c r="AF128">
        <v>11</v>
      </c>
    </row>
    <row r="129" spans="32:32" ht="11.45" customHeight="1" x14ac:dyDescent="0.15">
      <c r="AF129">
        <v>11</v>
      </c>
    </row>
    <row r="130" spans="32:32" ht="11.45" customHeight="1" x14ac:dyDescent="0.15">
      <c r="AF130">
        <v>11</v>
      </c>
    </row>
    <row r="131" spans="32:32" ht="11.45" customHeight="1" x14ac:dyDescent="0.15">
      <c r="AF131">
        <v>11</v>
      </c>
    </row>
    <row r="132" spans="32:32" ht="11.45" customHeight="1" x14ac:dyDescent="0.15">
      <c r="AF132">
        <v>11</v>
      </c>
    </row>
    <row r="133" spans="32:32" ht="11.45" customHeight="1" x14ac:dyDescent="0.15">
      <c r="AF133">
        <v>11</v>
      </c>
    </row>
    <row r="134" spans="32:32" ht="11.45" customHeight="1" x14ac:dyDescent="0.15">
      <c r="AF134">
        <v>11</v>
      </c>
    </row>
    <row r="135" spans="32:32" ht="11.45" customHeight="1" x14ac:dyDescent="0.15">
      <c r="AF135">
        <v>11</v>
      </c>
    </row>
    <row r="136" spans="32:32" ht="11.45" customHeight="1" x14ac:dyDescent="0.15">
      <c r="AF136">
        <v>11</v>
      </c>
    </row>
    <row r="137" spans="32:32" ht="11.45" customHeight="1" x14ac:dyDescent="0.15">
      <c r="AF137">
        <v>11</v>
      </c>
    </row>
    <row r="138" spans="32:32" ht="11.45" customHeight="1" x14ac:dyDescent="0.15">
      <c r="AF138">
        <v>11</v>
      </c>
    </row>
    <row r="139" spans="32:32" ht="11.45" customHeight="1" x14ac:dyDescent="0.15">
      <c r="AF139">
        <v>11</v>
      </c>
    </row>
    <row r="140" spans="32:32" ht="11.45" customHeight="1" x14ac:dyDescent="0.15">
      <c r="AF140">
        <v>11</v>
      </c>
    </row>
    <row r="141" spans="32:32" ht="11.45" customHeight="1" x14ac:dyDescent="0.15">
      <c r="AF141">
        <v>11</v>
      </c>
    </row>
    <row r="142" spans="32:32" ht="11.45" customHeight="1" x14ac:dyDescent="0.15">
      <c r="AF142">
        <v>11</v>
      </c>
    </row>
    <row r="143" spans="32:32" ht="11.45" customHeight="1" x14ac:dyDescent="0.15">
      <c r="AF143">
        <v>11</v>
      </c>
    </row>
    <row r="144" spans="32: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1:32" ht="11.45" customHeight="1" x14ac:dyDescent="0.15">
      <c r="AF209">
        <v>11</v>
      </c>
    </row>
    <row r="210" spans="1:32" ht="11.45" customHeight="1" x14ac:dyDescent="0.15">
      <c r="AF210">
        <v>11</v>
      </c>
    </row>
    <row r="211" spans="1:32" ht="11.45" customHeight="1" x14ac:dyDescent="0.15">
      <c r="AF211">
        <v>11</v>
      </c>
    </row>
    <row r="212" spans="1:32" ht="11.45" customHeight="1" x14ac:dyDescent="0.15">
      <c r="AF212">
        <v>11</v>
      </c>
    </row>
    <row r="213" spans="1:32" ht="11.45" customHeight="1" x14ac:dyDescent="0.15">
      <c r="AF213">
        <v>11</v>
      </c>
    </row>
    <row r="214" spans="1:32" ht="11.45" customHeight="1" x14ac:dyDescent="0.15">
      <c r="AF214">
        <v>11</v>
      </c>
    </row>
    <row r="215" spans="1:32" ht="11.45" customHeight="1" x14ac:dyDescent="0.15">
      <c r="AF215">
        <v>11</v>
      </c>
    </row>
    <row r="216" spans="1:32" ht="11.45" customHeight="1" x14ac:dyDescent="0.15">
      <c r="AF216">
        <v>11</v>
      </c>
    </row>
    <row r="217" spans="1:32" ht="11.25" hidden="1" customHeight="1" x14ac:dyDescent="0.15">
      <c r="A217" t="s">
        <v>84</v>
      </c>
      <c r="B217">
        <v>0</v>
      </c>
      <c r="C217">
        <v>0</v>
      </c>
      <c r="D217">
        <v>3</v>
      </c>
      <c r="E217">
        <v>7</v>
      </c>
      <c r="F217">
        <v>56</v>
      </c>
      <c r="G217">
        <v>10</v>
      </c>
      <c r="H217">
        <v>0</v>
      </c>
      <c r="I217">
        <v>40</v>
      </c>
      <c r="J217">
        <v>102</v>
      </c>
      <c r="K217">
        <v>9</v>
      </c>
      <c r="L217">
        <v>5</v>
      </c>
      <c r="M217">
        <v>3</v>
      </c>
      <c r="N217">
        <v>3</v>
      </c>
      <c r="O217">
        <v>3</v>
      </c>
      <c r="P217">
        <v>3</v>
      </c>
      <c r="Q217">
        <v>3</v>
      </c>
      <c r="R217">
        <v>10</v>
      </c>
      <c r="S217">
        <v>34</v>
      </c>
      <c r="T217">
        <v>9</v>
      </c>
      <c r="U217">
        <v>8</v>
      </c>
      <c r="V217">
        <v>8</v>
      </c>
      <c r="W217">
        <v>8</v>
      </c>
      <c r="X217">
        <v>8</v>
      </c>
      <c r="Y217">
        <v>8</v>
      </c>
      <c r="Z217">
        <v>8</v>
      </c>
      <c r="AA217">
        <v>8</v>
      </c>
      <c r="AB217">
        <v>8</v>
      </c>
      <c r="AC217">
        <v>8</v>
      </c>
      <c r="AD217">
        <v>8</v>
      </c>
      <c r="AE217">
        <v>8</v>
      </c>
      <c r="AF21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x14ac:dyDescent="0.15"/>
  <cols>
    <col min="1" max="1" width="10.7109375" hidden="1" customWidth="1"/>
    <col min="2" max="2" width="16.85546875" hidden="1" customWidth="1"/>
    <col min="3" max="3" width="5.5703125" hidden="1" customWidth="1"/>
    <col min="4" max="4" width="3" customWidth="1"/>
    <col min="5" max="5" width="7" customWidth="1"/>
    <col min="6" max="6" width="54" customWidth="1"/>
    <col min="7" max="7" width="10" customWidth="1"/>
    <col min="8" max="8" width="40.7109375" hidden="1" customWidth="1"/>
    <col min="9" max="9" width="40" customWidth="1"/>
    <col min="10" max="10" width="102" customWidth="1"/>
    <col min="11" max="11" width="9" customWidth="1"/>
    <col min="12" max="12" width="5" customWidth="1"/>
    <col min="13" max="17" width="3" customWidth="1"/>
    <col min="18" max="18" width="10" customWidth="1"/>
    <col min="19" max="19" width="34" customWidth="1"/>
    <col min="20" max="20" width="9" customWidth="1"/>
    <col min="21" max="31" width="8" customWidth="1"/>
    <col min="32" max="32" width="9.140625" hidden="1"/>
  </cols>
  <sheetData>
    <row r="1" spans="5:32" ht="22.5" hidden="1" customHeight="1" x14ac:dyDescent="0.15">
      <c r="H1">
        <v>4</v>
      </c>
      <c r="I1">
        <v>4</v>
      </c>
      <c r="AF1" t="s">
        <v>14</v>
      </c>
    </row>
    <row r="2" spans="5:32" ht="22.5" hidden="1" customHeight="1" x14ac:dyDescent="0.15">
      <c r="G2" t="s">
        <v>669</v>
      </c>
      <c r="J2" t="s">
        <v>672</v>
      </c>
      <c r="AF2">
        <v>0</v>
      </c>
    </row>
    <row r="3" spans="5:32" ht="11.25" hidden="1" customHeight="1" x14ac:dyDescent="0.15">
      <c r="AF3">
        <v>0</v>
      </c>
    </row>
    <row r="4" spans="5:32" ht="11.25" hidden="1" customHeight="1" x14ac:dyDescent="0.15">
      <c r="J4">
        <v>4</v>
      </c>
      <c r="AF4">
        <v>0</v>
      </c>
    </row>
    <row r="5" spans="5:32" ht="11.45" customHeight="1" x14ac:dyDescent="0.15">
      <c r="AF5">
        <v>11</v>
      </c>
    </row>
    <row r="6" spans="5:32" ht="33.75" customHeight="1" x14ac:dyDescent="0.15">
      <c r="E6" s="1" t="s">
        <v>891</v>
      </c>
      <c r="F6" s="1"/>
      <c r="G6" s="1"/>
      <c r="H6" s="1"/>
      <c r="I6" s="1"/>
      <c r="AF6">
        <v>32</v>
      </c>
    </row>
    <row r="7" spans="5:32" ht="25.15" customHeight="1" x14ac:dyDescent="0.15">
      <c r="E7" s="1" t="str">
        <f>IF(org=0,"Не определено",org)</f>
        <v>КГУП "Примтеплоэнерго"</v>
      </c>
      <c r="F7" s="1"/>
      <c r="G7" s="1"/>
      <c r="H7" s="1"/>
      <c r="I7" s="1"/>
      <c r="AF7">
        <v>24</v>
      </c>
    </row>
    <row r="8" spans="5:32" ht="11.45" customHeight="1" x14ac:dyDescent="0.15">
      <c r="AF8">
        <v>11</v>
      </c>
    </row>
    <row r="9" spans="5:32" ht="1.1499999999999999" customHeight="1" x14ac:dyDescent="0.15">
      <c r="I9" t="s">
        <v>173</v>
      </c>
      <c r="AF9">
        <v>1</v>
      </c>
    </row>
    <row r="10" spans="5:32" ht="11.45" customHeight="1" x14ac:dyDescent="0.15">
      <c r="F10" s="1" t="s">
        <v>165</v>
      </c>
      <c r="G10" s="1"/>
      <c r="H10" t="str">
        <f>IF(H9="","",INDEX(DIFFERENTIATION_UNMERGE_VD,MATCH(H9,DIFFERENTIATION_ID_DIFF,0)))</f>
        <v/>
      </c>
      <c r="I10">
        <f>IF(I9="","",INDEX(DIFFERENTIATION_UNMERGE_VD,MATCH(I9,DIFFERENTIATION_ID_DIFF,0)))</f>
        <v>0</v>
      </c>
      <c r="J10" s="1"/>
      <c r="AF10">
        <v>11</v>
      </c>
    </row>
    <row r="11" spans="5:32" ht="11.45" customHeight="1" x14ac:dyDescent="0.15">
      <c r="F11" s="1" t="s">
        <v>681</v>
      </c>
      <c r="G11" s="1"/>
      <c r="H11" t="str">
        <f>IF(H9="","",INDEX(DIFFERENTIATION_UNMERGE_AREA,MATCH(H9,DIFFERENTIATION_ID_DIFF,0)))</f>
        <v/>
      </c>
      <c r="I11" t="str">
        <f>IF(I9="","",INDEX(DIFFERENTIATION_UNMERGE_AREA,MATCH(I9,DIFFERENTIATION_ID_DIFF,0)))</f>
        <v/>
      </c>
      <c r="J11" s="1"/>
      <c r="AF11">
        <v>11</v>
      </c>
    </row>
    <row r="12" spans="5:32" ht="11.25" hidden="1" customHeight="1" x14ac:dyDescent="0.15">
      <c r="F12" s="1" t="s">
        <v>682</v>
      </c>
      <c r="G12" s="1"/>
      <c r="H12" t="str">
        <f>IF(H9="","",INDEX(DIFFERENTIATION_UNMERGE_SYSTEM,MATCH(H9,DIFFERENTIATION_ID_DIFF,0)))</f>
        <v/>
      </c>
      <c r="I12" t="str">
        <f>IF(I9="","",INDEX(DIFFERENTIATION_UNMERGE_SYSTEM,MATCH(I9,DIFFERENTIATION_ID_DIFF,0)))</f>
        <v>без дифференциации</v>
      </c>
      <c r="J12" s="1"/>
      <c r="AF12">
        <v>0</v>
      </c>
    </row>
    <row r="13" spans="5:32" ht="11.45" customHeight="1" x14ac:dyDescent="0.15">
      <c r="E13" s="1" t="s">
        <v>418</v>
      </c>
      <c r="F13" s="1"/>
      <c r="G13" s="1"/>
      <c r="J13" s="1"/>
      <c r="AF13">
        <v>11</v>
      </c>
    </row>
    <row r="14" spans="5:32" ht="24" customHeight="1" x14ac:dyDescent="0.15">
      <c r="E14" t="s">
        <v>90</v>
      </c>
      <c r="F14" t="s">
        <v>420</v>
      </c>
      <c r="G14" t="s">
        <v>683</v>
      </c>
      <c r="H14" t="s">
        <v>421</v>
      </c>
      <c r="I14" t="s">
        <v>421</v>
      </c>
      <c r="J14" s="1"/>
      <c r="AF14">
        <v>23</v>
      </c>
    </row>
    <row r="15" spans="5:32" ht="19.899999999999999" customHeight="1" x14ac:dyDescent="0.15">
      <c r="E15" t="s">
        <v>101</v>
      </c>
      <c r="F15" t="s">
        <v>892</v>
      </c>
      <c r="G15" t="s">
        <v>669</v>
      </c>
      <c r="J15" t="s">
        <v>893</v>
      </c>
      <c r="K15" t="s">
        <v>747</v>
      </c>
      <c r="AF15">
        <v>19</v>
      </c>
    </row>
    <row r="16" spans="5:32" ht="24" customHeight="1" x14ac:dyDescent="0.15">
      <c r="E16" t="s">
        <v>105</v>
      </c>
      <c r="F16" t="s">
        <v>894</v>
      </c>
      <c r="G16" t="s">
        <v>669</v>
      </c>
      <c r="H16">
        <f>SUM(H17,H20:H27)</f>
        <v>0</v>
      </c>
      <c r="I16">
        <f>SUM(I17,I20:I27)</f>
        <v>0</v>
      </c>
      <c r="J16" t="s">
        <v>895</v>
      </c>
      <c r="K16" t="s">
        <v>747</v>
      </c>
      <c r="AF16">
        <v>23</v>
      </c>
    </row>
    <row r="17" spans="5:32" ht="35.65" customHeight="1" x14ac:dyDescent="0.15">
      <c r="E17" t="s">
        <v>825</v>
      </c>
      <c r="F17" t="s">
        <v>896</v>
      </c>
      <c r="G17" t="s">
        <v>669</v>
      </c>
      <c r="J17" t="s">
        <v>897</v>
      </c>
      <c r="AF17">
        <v>34</v>
      </c>
    </row>
    <row r="18" spans="5:32" ht="19.899999999999999" customHeight="1" x14ac:dyDescent="0.15">
      <c r="E18" t="s">
        <v>828</v>
      </c>
      <c r="F18" t="s">
        <v>898</v>
      </c>
      <c r="G18" t="s">
        <v>669</v>
      </c>
      <c r="AF18">
        <v>19</v>
      </c>
    </row>
    <row r="19" spans="5:32" ht="24" customHeight="1" x14ac:dyDescent="0.15">
      <c r="E19" t="s">
        <v>831</v>
      </c>
      <c r="F19" t="s">
        <v>899</v>
      </c>
      <c r="G19" t="s">
        <v>669</v>
      </c>
      <c r="AF19">
        <v>23</v>
      </c>
    </row>
    <row r="20" spans="5:32" ht="35.65" customHeight="1" x14ac:dyDescent="0.15">
      <c r="E20" t="s">
        <v>425</v>
      </c>
      <c r="F20" t="s">
        <v>900</v>
      </c>
      <c r="G20" t="s">
        <v>669</v>
      </c>
      <c r="AF20">
        <v>34</v>
      </c>
    </row>
    <row r="21" spans="5:32" ht="48.2" customHeight="1" x14ac:dyDescent="0.15">
      <c r="E21" t="s">
        <v>428</v>
      </c>
      <c r="F21" t="s">
        <v>901</v>
      </c>
      <c r="G21" t="s">
        <v>669</v>
      </c>
      <c r="AF21">
        <v>46</v>
      </c>
    </row>
    <row r="22" spans="5:32" ht="60" customHeight="1" x14ac:dyDescent="0.15">
      <c r="E22" t="s">
        <v>845</v>
      </c>
      <c r="F22" t="s">
        <v>902</v>
      </c>
      <c r="G22" t="s">
        <v>669</v>
      </c>
      <c r="AF22">
        <v>57</v>
      </c>
    </row>
    <row r="23" spans="5:32" ht="35.65" customHeight="1" x14ac:dyDescent="0.15">
      <c r="E23" t="s">
        <v>852</v>
      </c>
      <c r="F23" t="s">
        <v>903</v>
      </c>
      <c r="G23" t="s">
        <v>669</v>
      </c>
      <c r="AF23">
        <v>34</v>
      </c>
    </row>
    <row r="24" spans="5:32" ht="35.65" customHeight="1" x14ac:dyDescent="0.15">
      <c r="E24" t="s">
        <v>854</v>
      </c>
      <c r="F24" t="s">
        <v>904</v>
      </c>
      <c r="G24" t="s">
        <v>669</v>
      </c>
      <c r="AF24">
        <v>34</v>
      </c>
    </row>
    <row r="25" spans="5:32" ht="24" customHeight="1" x14ac:dyDescent="0.15">
      <c r="E25" t="s">
        <v>856</v>
      </c>
      <c r="F25" t="s">
        <v>905</v>
      </c>
      <c r="G25" t="s">
        <v>669</v>
      </c>
      <c r="AF25">
        <v>23</v>
      </c>
    </row>
    <row r="26" spans="5:32" ht="76.5" customHeight="1" x14ac:dyDescent="0.15">
      <c r="E26" t="s">
        <v>858</v>
      </c>
      <c r="F26" t="s">
        <v>906</v>
      </c>
      <c r="G26" t="s">
        <v>669</v>
      </c>
      <c r="AF26">
        <v>73</v>
      </c>
    </row>
    <row r="27" spans="5:32" ht="35.65" customHeight="1" x14ac:dyDescent="0.15">
      <c r="E27" t="s">
        <v>862</v>
      </c>
      <c r="F27" t="s">
        <v>907</v>
      </c>
      <c r="G27" t="s">
        <v>669</v>
      </c>
      <c r="H27">
        <f>SUM(H28:H29)</f>
        <v>0</v>
      </c>
      <c r="I27">
        <f>SUM(I28:I29)</f>
        <v>0</v>
      </c>
      <c r="J27" t="s">
        <v>860</v>
      </c>
      <c r="AF27">
        <v>34</v>
      </c>
    </row>
    <row r="28" spans="5:32" ht="1.1499999999999999" customHeight="1" x14ac:dyDescent="0.15">
      <c r="E28" t="str">
        <f>E27&amp;".0"</f>
        <v>2.9.0</v>
      </c>
      <c r="AF28">
        <v>1</v>
      </c>
    </row>
    <row r="29" spans="5:32" ht="19.899999999999999" customHeight="1" x14ac:dyDescent="0.15">
      <c r="F29" t="s">
        <v>694</v>
      </c>
      <c r="J29" t="s">
        <v>861</v>
      </c>
      <c r="AF29">
        <v>19</v>
      </c>
    </row>
    <row r="30" spans="5:32" ht="24" customHeight="1" x14ac:dyDescent="0.15">
      <c r="E30" t="s">
        <v>92</v>
      </c>
      <c r="F30" t="s">
        <v>908</v>
      </c>
      <c r="G30" t="s">
        <v>669</v>
      </c>
      <c r="AF30">
        <v>23</v>
      </c>
    </row>
    <row r="31" spans="5:32" ht="35.65" customHeight="1" x14ac:dyDescent="0.15">
      <c r="E31" t="s">
        <v>93</v>
      </c>
      <c r="F31" t="s">
        <v>909</v>
      </c>
      <c r="G31" t="s">
        <v>669</v>
      </c>
      <c r="J31" t="s">
        <v>910</v>
      </c>
      <c r="AF31">
        <v>34</v>
      </c>
    </row>
    <row r="32" spans="5:32" ht="24" customHeight="1" x14ac:dyDescent="0.15">
      <c r="E32" t="s">
        <v>870</v>
      </c>
      <c r="F32" t="s">
        <v>874</v>
      </c>
      <c r="G32" t="s">
        <v>669</v>
      </c>
      <c r="J32" t="s">
        <v>911</v>
      </c>
      <c r="AF32">
        <v>23</v>
      </c>
    </row>
    <row r="33" spans="3:32" ht="24" customHeight="1" x14ac:dyDescent="0.15">
      <c r="E33" t="s">
        <v>912</v>
      </c>
      <c r="F33" t="s">
        <v>913</v>
      </c>
      <c r="G33" t="s">
        <v>669</v>
      </c>
      <c r="J33" t="s">
        <v>914</v>
      </c>
      <c r="AF33">
        <v>23</v>
      </c>
    </row>
    <row r="34" spans="3:32" ht="24" customHeight="1" x14ac:dyDescent="0.15">
      <c r="E34" t="s">
        <v>915</v>
      </c>
      <c r="F34" t="s">
        <v>880</v>
      </c>
      <c r="G34" t="s">
        <v>669</v>
      </c>
      <c r="J34" t="s">
        <v>916</v>
      </c>
      <c r="AF34">
        <v>23</v>
      </c>
    </row>
    <row r="35" spans="3:32" ht="35.65" customHeight="1" x14ac:dyDescent="0.15">
      <c r="C35" t="s">
        <v>705</v>
      </c>
      <c r="E35" t="s">
        <v>120</v>
      </c>
      <c r="F35" t="s">
        <v>746</v>
      </c>
      <c r="G35" t="s">
        <v>424</v>
      </c>
      <c r="J35" t="s">
        <v>917</v>
      </c>
      <c r="AF35">
        <v>34</v>
      </c>
    </row>
    <row r="36" spans="3:32" ht="35.65" customHeight="1" x14ac:dyDescent="0.15">
      <c r="E36" t="s">
        <v>94</v>
      </c>
      <c r="F36" t="s">
        <v>918</v>
      </c>
      <c r="G36" t="s">
        <v>885</v>
      </c>
      <c r="J36" t="s">
        <v>886</v>
      </c>
      <c r="AF36">
        <v>34</v>
      </c>
    </row>
    <row r="37" spans="3:32" ht="24" customHeight="1" x14ac:dyDescent="0.15">
      <c r="E37" t="s">
        <v>95</v>
      </c>
      <c r="F37" t="s">
        <v>919</v>
      </c>
      <c r="G37" t="s">
        <v>888</v>
      </c>
      <c r="J37" t="s">
        <v>889</v>
      </c>
      <c r="AF37">
        <v>23</v>
      </c>
    </row>
    <row r="38" spans="3:32" ht="11.45" customHeight="1" x14ac:dyDescent="0.15">
      <c r="AF38">
        <v>11</v>
      </c>
    </row>
    <row r="39" spans="3:32" ht="27.4" customHeight="1" x14ac:dyDescent="0.15">
      <c r="E39" t="s">
        <v>920</v>
      </c>
      <c r="F39" s="1" t="s">
        <v>921</v>
      </c>
      <c r="G39" s="1"/>
      <c r="AF39">
        <v>26</v>
      </c>
    </row>
    <row r="40" spans="3:32" ht="39.75" customHeight="1" x14ac:dyDescent="0.15">
      <c r="F40" s="1" t="s">
        <v>922</v>
      </c>
      <c r="G40" s="1"/>
      <c r="AF40">
        <v>38</v>
      </c>
    </row>
    <row r="41" spans="3:32" ht="11.45" customHeight="1" x14ac:dyDescent="0.15">
      <c r="AF41">
        <v>11</v>
      </c>
    </row>
    <row r="42" spans="3:32" ht="11.45" customHeight="1" x14ac:dyDescent="0.15">
      <c r="AF42">
        <v>11</v>
      </c>
    </row>
    <row r="43" spans="3:32" ht="11.45" customHeight="1" x14ac:dyDescent="0.15">
      <c r="AF43">
        <v>11</v>
      </c>
    </row>
    <row r="44" spans="3:32" ht="11.45" customHeight="1" x14ac:dyDescent="0.15">
      <c r="AF44">
        <v>11</v>
      </c>
    </row>
    <row r="45" spans="3:32" ht="11.45" customHeight="1" x14ac:dyDescent="0.15">
      <c r="AF45">
        <v>11</v>
      </c>
    </row>
    <row r="46" spans="3:32" ht="11.45" customHeight="1" x14ac:dyDescent="0.15">
      <c r="AF46">
        <v>11</v>
      </c>
    </row>
    <row r="47" spans="3:32" ht="11.45" customHeight="1" x14ac:dyDescent="0.15">
      <c r="AF47">
        <v>11</v>
      </c>
    </row>
    <row r="48" spans="3:32" ht="11.45" customHeight="1" x14ac:dyDescent="0.15">
      <c r="AF48">
        <v>11</v>
      </c>
    </row>
    <row r="49" spans="32:32" ht="11.45" customHeight="1" x14ac:dyDescent="0.15">
      <c r="AF49">
        <v>11</v>
      </c>
    </row>
    <row r="50" spans="32:32" ht="11.45" customHeight="1" x14ac:dyDescent="0.15">
      <c r="AF50">
        <v>11</v>
      </c>
    </row>
    <row r="51" spans="32:32" ht="11.45" customHeight="1" x14ac:dyDescent="0.15">
      <c r="AF51">
        <v>11</v>
      </c>
    </row>
    <row r="52" spans="32:32" ht="11.45" customHeight="1" x14ac:dyDescent="0.15">
      <c r="AF52">
        <v>11</v>
      </c>
    </row>
    <row r="53" spans="32:32" ht="11.45" customHeight="1" x14ac:dyDescent="0.15">
      <c r="AF53">
        <v>11</v>
      </c>
    </row>
    <row r="54" spans="32:32" ht="11.45" customHeight="1" x14ac:dyDescent="0.15">
      <c r="AF54">
        <v>11</v>
      </c>
    </row>
    <row r="55" spans="32:32" ht="11.45" customHeight="1" x14ac:dyDescent="0.15">
      <c r="AF55">
        <v>11</v>
      </c>
    </row>
    <row r="56" spans="32:32" ht="11.45" customHeight="1" x14ac:dyDescent="0.15">
      <c r="AF56">
        <v>11</v>
      </c>
    </row>
    <row r="57" spans="32:32" ht="11.45" customHeight="1" x14ac:dyDescent="0.15">
      <c r="AF57">
        <v>11</v>
      </c>
    </row>
    <row r="58" spans="32:32" ht="11.45" customHeight="1" x14ac:dyDescent="0.15">
      <c r="AF58">
        <v>11</v>
      </c>
    </row>
    <row r="59" spans="32:32" ht="11.45" customHeight="1" x14ac:dyDescent="0.15">
      <c r="AF59">
        <v>11</v>
      </c>
    </row>
    <row r="60" spans="32:32" ht="11.45" customHeight="1" x14ac:dyDescent="0.15">
      <c r="AF60">
        <v>11</v>
      </c>
    </row>
    <row r="61" spans="32:32" ht="11.45" customHeight="1" x14ac:dyDescent="0.15">
      <c r="AF61">
        <v>11</v>
      </c>
    </row>
    <row r="62" spans="32:32" ht="11.45" customHeight="1" x14ac:dyDescent="0.15">
      <c r="AF62">
        <v>11</v>
      </c>
    </row>
    <row r="63" spans="32:32" ht="11.45" customHeight="1" x14ac:dyDescent="0.15">
      <c r="AF63">
        <v>11</v>
      </c>
    </row>
    <row r="64" spans="32:32" ht="11.45" customHeight="1" x14ac:dyDescent="0.15">
      <c r="AF64">
        <v>11</v>
      </c>
    </row>
    <row r="65" spans="32:32" ht="11.45" customHeight="1" x14ac:dyDescent="0.15">
      <c r="AF65">
        <v>11</v>
      </c>
    </row>
    <row r="66" spans="32:32" ht="11.45" customHeight="1" x14ac:dyDescent="0.15">
      <c r="AF66">
        <v>11</v>
      </c>
    </row>
    <row r="67" spans="32:32" ht="11.45" customHeight="1" x14ac:dyDescent="0.15">
      <c r="AF67">
        <v>11</v>
      </c>
    </row>
    <row r="68" spans="32:32" ht="11.45" customHeight="1" x14ac:dyDescent="0.15">
      <c r="AF68">
        <v>11</v>
      </c>
    </row>
    <row r="69" spans="32:32" ht="11.45" customHeight="1" x14ac:dyDescent="0.15">
      <c r="AF69">
        <v>11</v>
      </c>
    </row>
    <row r="70" spans="32:32" ht="11.45" customHeight="1" x14ac:dyDescent="0.15">
      <c r="AF70">
        <v>11</v>
      </c>
    </row>
    <row r="71" spans="32:32" ht="11.45" customHeight="1" x14ac:dyDescent="0.15">
      <c r="AF71">
        <v>11</v>
      </c>
    </row>
    <row r="72" spans="32:32" ht="11.45" customHeight="1" x14ac:dyDescent="0.15">
      <c r="AF72">
        <v>11</v>
      </c>
    </row>
    <row r="73" spans="32:32" ht="11.45" customHeight="1" x14ac:dyDescent="0.15">
      <c r="AF73">
        <v>11</v>
      </c>
    </row>
    <row r="74" spans="32:32" ht="11.45" customHeight="1" x14ac:dyDescent="0.15">
      <c r="AF74">
        <v>11</v>
      </c>
    </row>
    <row r="75" spans="32:32" ht="11.45" customHeight="1" x14ac:dyDescent="0.15">
      <c r="AF75">
        <v>11</v>
      </c>
    </row>
    <row r="76" spans="32:32" ht="11.45" customHeight="1" x14ac:dyDescent="0.15">
      <c r="AF76">
        <v>11</v>
      </c>
    </row>
    <row r="77" spans="32:32" ht="11.45" customHeight="1" x14ac:dyDescent="0.15">
      <c r="AF77">
        <v>11</v>
      </c>
    </row>
    <row r="78" spans="32:32" ht="11.45" customHeight="1" x14ac:dyDescent="0.15">
      <c r="AF78">
        <v>11</v>
      </c>
    </row>
    <row r="79" spans="32:32" ht="11.45" customHeight="1" x14ac:dyDescent="0.15">
      <c r="AF79">
        <v>11</v>
      </c>
    </row>
    <row r="80" spans="32:32" ht="11.45" customHeight="1" x14ac:dyDescent="0.15">
      <c r="AF80">
        <v>11</v>
      </c>
    </row>
    <row r="81" spans="32:32" ht="11.45" customHeight="1" x14ac:dyDescent="0.15">
      <c r="AF81">
        <v>11</v>
      </c>
    </row>
    <row r="82" spans="32:32" ht="11.45" customHeight="1" x14ac:dyDescent="0.15">
      <c r="AF82">
        <v>11</v>
      </c>
    </row>
    <row r="83" spans="32:32" ht="11.45" customHeight="1" x14ac:dyDescent="0.15">
      <c r="AF83">
        <v>11</v>
      </c>
    </row>
    <row r="84" spans="32:32" ht="11.45" customHeight="1" x14ac:dyDescent="0.15">
      <c r="AF84">
        <v>11</v>
      </c>
    </row>
    <row r="85" spans="32:32" ht="11.45" customHeight="1" x14ac:dyDescent="0.15">
      <c r="AF85">
        <v>11</v>
      </c>
    </row>
    <row r="86" spans="32:32" ht="11.45" customHeight="1" x14ac:dyDescent="0.15">
      <c r="AF86">
        <v>11</v>
      </c>
    </row>
    <row r="87" spans="32:32" ht="11.45" customHeight="1" x14ac:dyDescent="0.15">
      <c r="AF87">
        <v>11</v>
      </c>
    </row>
    <row r="88" spans="32:32" ht="11.45" customHeight="1" x14ac:dyDescent="0.15">
      <c r="AF88">
        <v>11</v>
      </c>
    </row>
    <row r="89" spans="32:32" ht="11.45" customHeight="1" x14ac:dyDescent="0.15">
      <c r="AF89">
        <v>11</v>
      </c>
    </row>
    <row r="90" spans="32:32" ht="11.45" customHeight="1" x14ac:dyDescent="0.15">
      <c r="AF90">
        <v>11</v>
      </c>
    </row>
    <row r="91" spans="32:32" ht="11.45" customHeight="1" x14ac:dyDescent="0.15">
      <c r="AF91">
        <v>11</v>
      </c>
    </row>
    <row r="92" spans="32:32" ht="11.45" customHeight="1" x14ac:dyDescent="0.15">
      <c r="AF92">
        <v>11</v>
      </c>
    </row>
    <row r="93" spans="32:32" ht="11.45" customHeight="1" x14ac:dyDescent="0.15">
      <c r="AF93">
        <v>11</v>
      </c>
    </row>
    <row r="94" spans="32:32" ht="11.45" customHeight="1" x14ac:dyDescent="0.15">
      <c r="AF94">
        <v>11</v>
      </c>
    </row>
    <row r="95" spans="32:32" ht="11.45" customHeight="1" x14ac:dyDescent="0.15">
      <c r="AF95">
        <v>11</v>
      </c>
    </row>
    <row r="96" spans="32:32" ht="11.45" customHeight="1" x14ac:dyDescent="0.15">
      <c r="AF96">
        <v>11</v>
      </c>
    </row>
    <row r="97" spans="32:32" ht="11.45" customHeight="1" x14ac:dyDescent="0.15">
      <c r="AF97">
        <v>11</v>
      </c>
    </row>
    <row r="98" spans="32:32" ht="11.45" customHeight="1" x14ac:dyDescent="0.15">
      <c r="AF98">
        <v>11</v>
      </c>
    </row>
    <row r="99" spans="32:32" ht="11.45" customHeight="1" x14ac:dyDescent="0.15">
      <c r="AF99">
        <v>11</v>
      </c>
    </row>
    <row r="100" spans="32:32" ht="11.45" customHeight="1" x14ac:dyDescent="0.15">
      <c r="AF100">
        <v>11</v>
      </c>
    </row>
    <row r="101" spans="32:32" ht="11.45" customHeight="1" x14ac:dyDescent="0.15">
      <c r="AF101">
        <v>11</v>
      </c>
    </row>
    <row r="102" spans="32:32" ht="11.45" customHeight="1" x14ac:dyDescent="0.15">
      <c r="AF102">
        <v>11</v>
      </c>
    </row>
    <row r="103" spans="32:32" ht="11.45" customHeight="1" x14ac:dyDescent="0.15">
      <c r="AF103">
        <v>11</v>
      </c>
    </row>
    <row r="104" spans="32:32" ht="11.45" customHeight="1" x14ac:dyDescent="0.15">
      <c r="AF104">
        <v>11</v>
      </c>
    </row>
    <row r="105" spans="32:32" ht="11.45" customHeight="1" x14ac:dyDescent="0.15">
      <c r="AF105">
        <v>11</v>
      </c>
    </row>
    <row r="106" spans="32:32" ht="11.45" customHeight="1" x14ac:dyDescent="0.15">
      <c r="AF106">
        <v>11</v>
      </c>
    </row>
    <row r="107" spans="32:32" ht="11.45" customHeight="1" x14ac:dyDescent="0.15">
      <c r="AF107">
        <v>11</v>
      </c>
    </row>
    <row r="108" spans="32:32" ht="11.45" customHeight="1" x14ac:dyDescent="0.15">
      <c r="AF108">
        <v>11</v>
      </c>
    </row>
    <row r="109" spans="32:32" ht="11.45" customHeight="1" x14ac:dyDescent="0.15">
      <c r="AF109">
        <v>11</v>
      </c>
    </row>
    <row r="110" spans="32:32" ht="11.45" customHeight="1" x14ac:dyDescent="0.15">
      <c r="AF110">
        <v>11</v>
      </c>
    </row>
    <row r="111" spans="32:32" ht="11.45" customHeight="1" x14ac:dyDescent="0.15">
      <c r="AF111">
        <v>11</v>
      </c>
    </row>
    <row r="112" spans="32:32" ht="11.45" customHeight="1" x14ac:dyDescent="0.15">
      <c r="AF112">
        <v>11</v>
      </c>
    </row>
    <row r="113" spans="32:32" ht="11.45" customHeight="1" x14ac:dyDescent="0.15">
      <c r="AF113">
        <v>11</v>
      </c>
    </row>
    <row r="114" spans="32:32" ht="11.45" customHeight="1" x14ac:dyDescent="0.15">
      <c r="AF114">
        <v>11</v>
      </c>
    </row>
    <row r="115" spans="32:32" ht="11.45" customHeight="1" x14ac:dyDescent="0.15">
      <c r="AF115">
        <v>11</v>
      </c>
    </row>
    <row r="116" spans="32:32" ht="11.45" customHeight="1" x14ac:dyDescent="0.15">
      <c r="AF116">
        <v>11</v>
      </c>
    </row>
    <row r="117" spans="32:32" ht="11.45" customHeight="1" x14ac:dyDescent="0.15">
      <c r="AF117">
        <v>11</v>
      </c>
    </row>
    <row r="118" spans="32:32" ht="11.45" customHeight="1" x14ac:dyDescent="0.15">
      <c r="AF118">
        <v>11</v>
      </c>
    </row>
    <row r="119" spans="32:32" ht="11.45" customHeight="1" x14ac:dyDescent="0.15">
      <c r="AF119">
        <v>11</v>
      </c>
    </row>
    <row r="120" spans="32:32" ht="11.45" customHeight="1" x14ac:dyDescent="0.15">
      <c r="AF120">
        <v>11</v>
      </c>
    </row>
    <row r="121" spans="32:32" ht="11.45" customHeight="1" x14ac:dyDescent="0.15">
      <c r="AF121">
        <v>11</v>
      </c>
    </row>
    <row r="122" spans="32:32" ht="11.45" customHeight="1" x14ac:dyDescent="0.15">
      <c r="AF122">
        <v>11</v>
      </c>
    </row>
    <row r="123" spans="32:32" ht="11.45" customHeight="1" x14ac:dyDescent="0.15">
      <c r="AF123">
        <v>11</v>
      </c>
    </row>
    <row r="124" spans="32:32" ht="11.45" customHeight="1" x14ac:dyDescent="0.15">
      <c r="AF124">
        <v>11</v>
      </c>
    </row>
    <row r="125" spans="32:32" ht="11.45" customHeight="1" x14ac:dyDescent="0.15">
      <c r="AF125">
        <v>11</v>
      </c>
    </row>
    <row r="126" spans="32:32" ht="11.45" customHeight="1" x14ac:dyDescent="0.15">
      <c r="AF126">
        <v>11</v>
      </c>
    </row>
    <row r="127" spans="32:32" ht="11.45" customHeight="1" x14ac:dyDescent="0.15">
      <c r="AF127">
        <v>11</v>
      </c>
    </row>
    <row r="128" spans="32:32" ht="11.45" customHeight="1" x14ac:dyDescent="0.15">
      <c r="AF128">
        <v>11</v>
      </c>
    </row>
    <row r="129" spans="32:32" ht="11.45" customHeight="1" x14ac:dyDescent="0.15">
      <c r="AF129">
        <v>11</v>
      </c>
    </row>
    <row r="130" spans="32:32" ht="11.45" customHeight="1" x14ac:dyDescent="0.15">
      <c r="AF130">
        <v>11</v>
      </c>
    </row>
    <row r="131" spans="32:32" ht="11.45" customHeight="1" x14ac:dyDescent="0.15">
      <c r="AF131">
        <v>11</v>
      </c>
    </row>
    <row r="132" spans="32:32" ht="11.45" customHeight="1" x14ac:dyDescent="0.15">
      <c r="AF132">
        <v>11</v>
      </c>
    </row>
    <row r="133" spans="32:32" ht="11.45" customHeight="1" x14ac:dyDescent="0.15">
      <c r="AF133">
        <v>11</v>
      </c>
    </row>
    <row r="134" spans="32:32" ht="11.45" customHeight="1" x14ac:dyDescent="0.15">
      <c r="AF134">
        <v>11</v>
      </c>
    </row>
    <row r="135" spans="32:32" ht="11.45" customHeight="1" x14ac:dyDescent="0.15">
      <c r="AF135">
        <v>11</v>
      </c>
    </row>
    <row r="136" spans="32:32" ht="11.45" customHeight="1" x14ac:dyDescent="0.15">
      <c r="AF136">
        <v>11</v>
      </c>
    </row>
    <row r="137" spans="32:32" ht="11.45" customHeight="1" x14ac:dyDescent="0.15">
      <c r="AF137">
        <v>11</v>
      </c>
    </row>
    <row r="138" spans="32:32" ht="11.45" customHeight="1" x14ac:dyDescent="0.15">
      <c r="AF138">
        <v>11</v>
      </c>
    </row>
    <row r="139" spans="32:32" ht="11.45" customHeight="1" x14ac:dyDescent="0.15">
      <c r="AF139">
        <v>11</v>
      </c>
    </row>
    <row r="140" spans="32:32" ht="11.45" customHeight="1" x14ac:dyDescent="0.15">
      <c r="AF140">
        <v>11</v>
      </c>
    </row>
    <row r="141" spans="32:32" ht="11.45" customHeight="1" x14ac:dyDescent="0.15">
      <c r="AF141">
        <v>11</v>
      </c>
    </row>
    <row r="142" spans="32:32" ht="11.45" customHeight="1" x14ac:dyDescent="0.15">
      <c r="AF142">
        <v>11</v>
      </c>
    </row>
    <row r="143" spans="32:32" ht="11.45" customHeight="1" x14ac:dyDescent="0.15">
      <c r="AF143">
        <v>11</v>
      </c>
    </row>
    <row r="144" spans="32:32" ht="11.45" customHeight="1" x14ac:dyDescent="0.15">
      <c r="AF144">
        <v>11</v>
      </c>
    </row>
    <row r="145" spans="32:32" ht="11.45" customHeight="1" x14ac:dyDescent="0.15">
      <c r="AF145">
        <v>11</v>
      </c>
    </row>
    <row r="146" spans="32:32" ht="11.45" customHeight="1" x14ac:dyDescent="0.15">
      <c r="AF146">
        <v>11</v>
      </c>
    </row>
    <row r="147" spans="32:32" ht="11.45" customHeight="1" x14ac:dyDescent="0.15">
      <c r="AF147">
        <v>11</v>
      </c>
    </row>
    <row r="148" spans="32:32" ht="11.45" customHeight="1" x14ac:dyDescent="0.15">
      <c r="AF148">
        <v>11</v>
      </c>
    </row>
    <row r="149" spans="32:32" ht="11.45" customHeight="1" x14ac:dyDescent="0.15">
      <c r="AF149">
        <v>11</v>
      </c>
    </row>
    <row r="150" spans="32:32" ht="11.45" customHeight="1" x14ac:dyDescent="0.15">
      <c r="AF150">
        <v>11</v>
      </c>
    </row>
    <row r="151" spans="32:32" ht="11.45" customHeight="1" x14ac:dyDescent="0.15">
      <c r="AF151">
        <v>11</v>
      </c>
    </row>
    <row r="152" spans="32:32" ht="11.45" customHeight="1" x14ac:dyDescent="0.15">
      <c r="AF152">
        <v>11</v>
      </c>
    </row>
    <row r="153" spans="32:32" ht="11.45" customHeight="1" x14ac:dyDescent="0.15">
      <c r="AF153">
        <v>11</v>
      </c>
    </row>
    <row r="154" spans="32:32" ht="11.45" customHeight="1" x14ac:dyDescent="0.15">
      <c r="AF154">
        <v>11</v>
      </c>
    </row>
    <row r="155" spans="32:32" ht="11.45" customHeight="1" x14ac:dyDescent="0.15">
      <c r="AF155">
        <v>11</v>
      </c>
    </row>
    <row r="156" spans="32:32" ht="11.45" customHeight="1" x14ac:dyDescent="0.15">
      <c r="AF156">
        <v>11</v>
      </c>
    </row>
    <row r="157" spans="32:32" ht="11.45" customHeight="1" x14ac:dyDescent="0.15">
      <c r="AF157">
        <v>11</v>
      </c>
    </row>
    <row r="158" spans="32:32" ht="11.45" customHeight="1" x14ac:dyDescent="0.15">
      <c r="AF158">
        <v>11</v>
      </c>
    </row>
    <row r="159" spans="32:32" ht="11.45" customHeight="1" x14ac:dyDescent="0.15">
      <c r="AF159">
        <v>11</v>
      </c>
    </row>
    <row r="160" spans="32:32" ht="11.45" customHeight="1" x14ac:dyDescent="0.15">
      <c r="AF160">
        <v>11</v>
      </c>
    </row>
    <row r="161" spans="32:32" ht="11.45" customHeight="1" x14ac:dyDescent="0.15">
      <c r="AF161">
        <v>11</v>
      </c>
    </row>
    <row r="162" spans="32:32" ht="11.45" customHeight="1" x14ac:dyDescent="0.15">
      <c r="AF162">
        <v>11</v>
      </c>
    </row>
    <row r="163" spans="32:32" ht="11.45" customHeight="1" x14ac:dyDescent="0.15">
      <c r="AF163">
        <v>11</v>
      </c>
    </row>
    <row r="164" spans="32:32" ht="11.45" customHeight="1" x14ac:dyDescent="0.15">
      <c r="AF164">
        <v>11</v>
      </c>
    </row>
    <row r="165" spans="32:32" ht="11.45" customHeight="1" x14ac:dyDescent="0.15">
      <c r="AF165">
        <v>11</v>
      </c>
    </row>
    <row r="166" spans="32:32" ht="11.45" customHeight="1" x14ac:dyDescent="0.15">
      <c r="AF166">
        <v>11</v>
      </c>
    </row>
    <row r="167" spans="32:32" ht="11.45" customHeight="1" x14ac:dyDescent="0.15">
      <c r="AF167">
        <v>11</v>
      </c>
    </row>
    <row r="168" spans="32:32" ht="11.45" customHeight="1" x14ac:dyDescent="0.15">
      <c r="AF168">
        <v>11</v>
      </c>
    </row>
    <row r="169" spans="32:32" ht="11.45" customHeight="1" x14ac:dyDescent="0.15">
      <c r="AF169">
        <v>11</v>
      </c>
    </row>
    <row r="170" spans="32:32" ht="11.45" customHeight="1" x14ac:dyDescent="0.15">
      <c r="AF170">
        <v>11</v>
      </c>
    </row>
    <row r="171" spans="32:32" ht="11.45" customHeight="1" x14ac:dyDescent="0.15">
      <c r="AF171">
        <v>11</v>
      </c>
    </row>
    <row r="172" spans="32:32" ht="11.45" customHeight="1" x14ac:dyDescent="0.15">
      <c r="AF172">
        <v>11</v>
      </c>
    </row>
    <row r="173" spans="32:32" ht="11.45" customHeight="1" x14ac:dyDescent="0.15">
      <c r="AF173">
        <v>11</v>
      </c>
    </row>
    <row r="174" spans="32:32" ht="11.45" customHeight="1" x14ac:dyDescent="0.15">
      <c r="AF174">
        <v>11</v>
      </c>
    </row>
    <row r="175" spans="32:32" ht="11.45" customHeight="1" x14ac:dyDescent="0.15">
      <c r="AF175">
        <v>11</v>
      </c>
    </row>
    <row r="176" spans="32:32" ht="11.45" customHeight="1" x14ac:dyDescent="0.15">
      <c r="AF176">
        <v>11</v>
      </c>
    </row>
    <row r="177" spans="32:32" ht="11.45" customHeight="1" x14ac:dyDescent="0.15">
      <c r="AF177">
        <v>11</v>
      </c>
    </row>
    <row r="178" spans="32:32" ht="11.45" customHeight="1" x14ac:dyDescent="0.15">
      <c r="AF178">
        <v>11</v>
      </c>
    </row>
    <row r="179" spans="32:32" ht="11.45" customHeight="1" x14ac:dyDescent="0.15">
      <c r="AF179">
        <v>11</v>
      </c>
    </row>
    <row r="180" spans="32:32" ht="11.45" customHeight="1" x14ac:dyDescent="0.15">
      <c r="AF180">
        <v>11</v>
      </c>
    </row>
    <row r="181" spans="32:32" ht="11.45" customHeight="1" x14ac:dyDescent="0.15">
      <c r="AF181">
        <v>11</v>
      </c>
    </row>
    <row r="182" spans="32:32" ht="11.45" customHeight="1" x14ac:dyDescent="0.15">
      <c r="AF182">
        <v>11</v>
      </c>
    </row>
    <row r="183" spans="32:32" ht="11.45" customHeight="1" x14ac:dyDescent="0.15">
      <c r="AF183">
        <v>11</v>
      </c>
    </row>
    <row r="184" spans="32:32" ht="11.45" customHeight="1" x14ac:dyDescent="0.15">
      <c r="AF184">
        <v>11</v>
      </c>
    </row>
    <row r="185" spans="32:32" ht="11.45" customHeight="1" x14ac:dyDescent="0.15">
      <c r="AF185">
        <v>11</v>
      </c>
    </row>
    <row r="186" spans="32:32" ht="11.45" customHeight="1" x14ac:dyDescent="0.15">
      <c r="AF186">
        <v>11</v>
      </c>
    </row>
    <row r="187" spans="32:32" ht="11.45" customHeight="1" x14ac:dyDescent="0.15">
      <c r="AF187">
        <v>11</v>
      </c>
    </row>
    <row r="188" spans="32:32" ht="11.45" customHeight="1" x14ac:dyDescent="0.15">
      <c r="AF188">
        <v>11</v>
      </c>
    </row>
    <row r="189" spans="32:32" ht="11.45" customHeight="1" x14ac:dyDescent="0.15">
      <c r="AF189">
        <v>11</v>
      </c>
    </row>
    <row r="190" spans="32:32" ht="11.45" customHeight="1" x14ac:dyDescent="0.15">
      <c r="AF190">
        <v>11</v>
      </c>
    </row>
    <row r="191" spans="32:32" ht="11.45" customHeight="1" x14ac:dyDescent="0.15">
      <c r="AF191">
        <v>11</v>
      </c>
    </row>
    <row r="192" spans="32:32" ht="11.45" customHeight="1" x14ac:dyDescent="0.15">
      <c r="AF192">
        <v>11</v>
      </c>
    </row>
    <row r="193" spans="32:32" ht="11.45" customHeight="1" x14ac:dyDescent="0.15">
      <c r="AF193">
        <v>11</v>
      </c>
    </row>
    <row r="194" spans="32:32" ht="11.45" customHeight="1" x14ac:dyDescent="0.15">
      <c r="AF194">
        <v>11</v>
      </c>
    </row>
    <row r="195" spans="32:32" ht="11.45" customHeight="1" x14ac:dyDescent="0.15">
      <c r="AF195">
        <v>11</v>
      </c>
    </row>
    <row r="196" spans="32:32" ht="11.45" customHeight="1" x14ac:dyDescent="0.15">
      <c r="AF196">
        <v>11</v>
      </c>
    </row>
    <row r="197" spans="32:32" ht="11.45" customHeight="1" x14ac:dyDescent="0.15">
      <c r="AF197">
        <v>11</v>
      </c>
    </row>
    <row r="198" spans="32:32" ht="11.45" customHeight="1" x14ac:dyDescent="0.15">
      <c r="AF198">
        <v>11</v>
      </c>
    </row>
    <row r="199" spans="32:32" ht="11.45" customHeight="1" x14ac:dyDescent="0.15">
      <c r="AF199">
        <v>11</v>
      </c>
    </row>
    <row r="200" spans="32:32" ht="11.45" customHeight="1" x14ac:dyDescent="0.15">
      <c r="AF200">
        <v>11</v>
      </c>
    </row>
    <row r="201" spans="32:32" ht="11.45" customHeight="1" x14ac:dyDescent="0.15">
      <c r="AF201">
        <v>11</v>
      </c>
    </row>
    <row r="202" spans="32:32" ht="11.45" customHeight="1" x14ac:dyDescent="0.15">
      <c r="AF202">
        <v>11</v>
      </c>
    </row>
    <row r="203" spans="32:32" ht="11.45" customHeight="1" x14ac:dyDescent="0.15">
      <c r="AF203">
        <v>11</v>
      </c>
    </row>
    <row r="204" spans="32:32" ht="11.45" customHeight="1" x14ac:dyDescent="0.15">
      <c r="AF204">
        <v>11</v>
      </c>
    </row>
    <row r="205" spans="32:32" ht="11.45" customHeight="1" x14ac:dyDescent="0.15">
      <c r="AF205">
        <v>11</v>
      </c>
    </row>
    <row r="206" spans="32:32" ht="11.45" customHeight="1" x14ac:dyDescent="0.15">
      <c r="AF206">
        <v>11</v>
      </c>
    </row>
    <row r="207" spans="32:32" ht="11.45" customHeight="1" x14ac:dyDescent="0.15">
      <c r="AF207">
        <v>11</v>
      </c>
    </row>
    <row r="208" spans="32:32" ht="11.45" customHeight="1" x14ac:dyDescent="0.15">
      <c r="AF208">
        <v>11</v>
      </c>
    </row>
    <row r="209" spans="1:32" ht="11.45" customHeight="1" x14ac:dyDescent="0.15">
      <c r="AF209">
        <v>11</v>
      </c>
    </row>
    <row r="210" spans="1:32" ht="11.25" hidden="1" customHeight="1" x14ac:dyDescent="0.15">
      <c r="A210" t="s">
        <v>84</v>
      </c>
      <c r="B210">
        <v>0</v>
      </c>
      <c r="C210">
        <v>0</v>
      </c>
      <c r="D210">
        <v>3</v>
      </c>
      <c r="E210">
        <v>7</v>
      </c>
      <c r="F210">
        <v>54</v>
      </c>
      <c r="G210">
        <v>10</v>
      </c>
      <c r="H210">
        <v>0</v>
      </c>
      <c r="I210">
        <v>40</v>
      </c>
      <c r="J210">
        <v>102</v>
      </c>
      <c r="K210">
        <v>9</v>
      </c>
      <c r="L210">
        <v>5</v>
      </c>
      <c r="M210">
        <v>3</v>
      </c>
      <c r="N210">
        <v>3</v>
      </c>
      <c r="O210">
        <v>3</v>
      </c>
      <c r="P210">
        <v>3</v>
      </c>
      <c r="Q210">
        <v>3</v>
      </c>
      <c r="R210">
        <v>10</v>
      </c>
      <c r="S210">
        <v>34</v>
      </c>
      <c r="T210">
        <v>9</v>
      </c>
      <c r="U210">
        <v>8</v>
      </c>
      <c r="V210">
        <v>8</v>
      </c>
      <c r="W210">
        <v>8</v>
      </c>
      <c r="X210">
        <v>8</v>
      </c>
      <c r="Y210">
        <v>8</v>
      </c>
      <c r="Z210">
        <v>8</v>
      </c>
      <c r="AA210">
        <v>8</v>
      </c>
      <c r="AB210">
        <v>8</v>
      </c>
      <c r="AC210">
        <v>8</v>
      </c>
      <c r="AD210">
        <v>8</v>
      </c>
      <c r="AE210">
        <v>8</v>
      </c>
      <c r="AF2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x14ac:dyDescent="0.15"/>
  <cols>
    <col min="1" max="1" width="9.140625" hidden="1" customWidth="1"/>
    <col min="2" max="2" width="3.5703125" hidden="1" customWidth="1"/>
    <col min="3" max="3" width="3" customWidth="1"/>
    <col min="4" max="4" width="7" customWidth="1"/>
    <col min="5" max="5" width="69" customWidth="1"/>
    <col min="6" max="6" width="10" customWidth="1"/>
    <col min="7" max="8" width="44" hidden="1" customWidth="1"/>
    <col min="9" max="9" width="44" customWidth="1"/>
    <col min="10" max="10" width="43" customWidth="1"/>
    <col min="11" max="11" width="73" customWidth="1"/>
    <col min="12" max="12" width="3" customWidth="1"/>
    <col min="13" max="23" width="10" customWidth="1"/>
    <col min="24" max="24" width="10.5703125" hidden="1"/>
  </cols>
  <sheetData>
    <row r="1" spans="1:24" ht="22.5" hidden="1" customHeight="1" x14ac:dyDescent="0.15">
      <c r="G1">
        <v>4</v>
      </c>
      <c r="I1">
        <v>4</v>
      </c>
      <c r="K1">
        <v>5</v>
      </c>
      <c r="X1" t="s">
        <v>14</v>
      </c>
    </row>
    <row r="2" spans="1:24" ht="3" customHeight="1" x14ac:dyDescent="0.15">
      <c r="X2">
        <v>3</v>
      </c>
    </row>
    <row r="3" spans="1:24" ht="78.75" customHeight="1" x14ac:dyDescent="0.15">
      <c r="D3" s="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
      <c r="F3" s="1"/>
      <c r="X3">
        <v>75</v>
      </c>
    </row>
    <row r="4" spans="1:24" ht="21" customHeight="1" x14ac:dyDescent="0.15">
      <c r="D4" s="1" t="str">
        <f>IF(org=0,"Не определено",org)</f>
        <v>КГУП "Примтеплоэнерго"</v>
      </c>
      <c r="E4" s="1"/>
      <c r="F4" s="1"/>
      <c r="X4">
        <v>20</v>
      </c>
    </row>
    <row r="5" spans="1:24" ht="11.45" customHeight="1" x14ac:dyDescent="0.15">
      <c r="X5">
        <v>11</v>
      </c>
    </row>
    <row r="6" spans="1:24" ht="1.1499999999999999" customHeight="1" x14ac:dyDescent="0.15">
      <c r="I6" t="s">
        <v>173</v>
      </c>
      <c r="X6">
        <v>1</v>
      </c>
    </row>
    <row r="7" spans="1:24" ht="11.45" customHeight="1" x14ac:dyDescent="0.15">
      <c r="E7" s="1" t="s">
        <v>165</v>
      </c>
      <c r="F7" s="1"/>
      <c r="G7" s="1" t="str">
        <f>IF(G6="","",INDEX(DIFFERENTIATION_UNMERGE_VD,MATCH(G6,DIFFERENTIATION_ID_DIFF,0)))</f>
        <v/>
      </c>
      <c r="H7" s="1"/>
      <c r="I7" s="1">
        <f>IF(I6="","",INDEX(DIFFERENTIATION_UNMERGE_VD,MATCH(I6,DIFFERENTIATION_ID_DIFF,0)))</f>
        <v>0</v>
      </c>
      <c r="J7" s="1"/>
      <c r="K7" s="1"/>
      <c r="X7">
        <v>11</v>
      </c>
    </row>
    <row r="8" spans="1:24" ht="11.45" customHeight="1" x14ac:dyDescent="0.15">
      <c r="E8" s="1" t="s">
        <v>681</v>
      </c>
      <c r="F8" s="1"/>
      <c r="G8" s="1" t="str">
        <f>IF(G6="","",INDEX(DIFFERENTIATION_UNMERGE_AREA,MATCH(G6,DIFFERENTIATION_ID_DIFF,0)))</f>
        <v/>
      </c>
      <c r="H8" s="1"/>
      <c r="I8" s="1" t="str">
        <f>IF(I6="","",INDEX(DIFFERENTIATION_UNMERGE_AREA,MATCH(I6,DIFFERENTIATION_ID_DIFF,0)))</f>
        <v/>
      </c>
      <c r="J8" s="1"/>
      <c r="K8" s="1"/>
      <c r="X8">
        <v>11</v>
      </c>
    </row>
    <row r="9" spans="1:24" ht="11.45" customHeight="1" x14ac:dyDescent="0.15">
      <c r="E9" s="1" t="s">
        <v>682</v>
      </c>
      <c r="F9" s="1"/>
      <c r="G9" s="1" t="str">
        <f>IF(G6="","",INDEX(DIFFERENTIATION_UNMERGE_SYSTEM,MATCH(G6,DIFFERENTIATION_ID_DIFF,0)))</f>
        <v/>
      </c>
      <c r="H9" s="1"/>
      <c r="I9" s="1" t="str">
        <f>IF(I6="","",INDEX(DIFFERENTIATION_UNMERGE_SYSTEM,MATCH(I6,DIFFERENTIATION_ID_DIFF,0)))</f>
        <v>без дифференциации</v>
      </c>
      <c r="J9" s="1"/>
      <c r="K9" s="1"/>
      <c r="X9">
        <v>11</v>
      </c>
    </row>
    <row r="10" spans="1:24" ht="11.45" customHeight="1" x14ac:dyDescent="0.15">
      <c r="D10" s="1" t="s">
        <v>418</v>
      </c>
      <c r="E10" s="1"/>
      <c r="F10" s="1"/>
      <c r="G10" s="1"/>
      <c r="H10" s="1"/>
      <c r="I10" s="1"/>
      <c r="J10" s="1"/>
      <c r="K10" s="1"/>
      <c r="X10">
        <v>11</v>
      </c>
    </row>
    <row r="11" spans="1:24" ht="24" customHeight="1" x14ac:dyDescent="0.15">
      <c r="A11" s="1"/>
      <c r="B11" s="1"/>
      <c r="D11" t="s">
        <v>90</v>
      </c>
      <c r="E11" t="s">
        <v>923</v>
      </c>
      <c r="F11" t="s">
        <v>683</v>
      </c>
      <c r="G11" t="s">
        <v>421</v>
      </c>
      <c r="H11" t="s">
        <v>508</v>
      </c>
      <c r="I11" t="s">
        <v>421</v>
      </c>
      <c r="J11" t="s">
        <v>508</v>
      </c>
      <c r="K11" s="1"/>
      <c r="X11">
        <v>23</v>
      </c>
    </row>
    <row r="12" spans="1:24" ht="10.5" customHeight="1" x14ac:dyDescent="0.15">
      <c r="D12" t="s">
        <v>101</v>
      </c>
      <c r="E12" t="s">
        <v>105</v>
      </c>
      <c r="F12" t="s">
        <v>92</v>
      </c>
      <c r="G12" t="str">
        <f>G1&amp;".1"</f>
        <v>4.1</v>
      </c>
      <c r="H12" t="str">
        <f>G1&amp;".2"</f>
        <v>4.2</v>
      </c>
      <c r="I12" t="str">
        <f>I1&amp;".1"</f>
        <v>4.1</v>
      </c>
      <c r="J12" t="str">
        <f>I1&amp;".2"</f>
        <v>4.2</v>
      </c>
      <c r="X12">
        <v>10</v>
      </c>
    </row>
    <row r="13" spans="1:24" ht="22.5" hidden="1" customHeight="1" x14ac:dyDescent="0.15">
      <c r="A13" s="1" t="s">
        <v>924</v>
      </c>
      <c r="D13" t="s">
        <v>101</v>
      </c>
      <c r="E13" t="s">
        <v>925</v>
      </c>
      <c r="F13" t="s">
        <v>926</v>
      </c>
      <c r="K13" t="s">
        <v>927</v>
      </c>
      <c r="X13">
        <v>0</v>
      </c>
    </row>
    <row r="14" spans="1:24" ht="22.5" hidden="1" customHeight="1" x14ac:dyDescent="0.15">
      <c r="A14" s="1"/>
      <c r="D14" t="s">
        <v>105</v>
      </c>
      <c r="E14" t="s">
        <v>928</v>
      </c>
      <c r="F14" t="s">
        <v>929</v>
      </c>
      <c r="K14" t="s">
        <v>930</v>
      </c>
      <c r="X14">
        <v>0</v>
      </c>
    </row>
    <row r="15" spans="1:24" ht="78.75" hidden="1" customHeight="1" x14ac:dyDescent="0.15">
      <c r="A15" s="1"/>
      <c r="D15" t="s">
        <v>92</v>
      </c>
      <c r="E15" t="s">
        <v>931</v>
      </c>
      <c r="F15" t="s">
        <v>424</v>
      </c>
      <c r="G15" t="s">
        <v>424</v>
      </c>
      <c r="I15" t="s">
        <v>424</v>
      </c>
      <c r="K15" t="s">
        <v>932</v>
      </c>
      <c r="X15">
        <v>0</v>
      </c>
    </row>
    <row r="16" spans="1:24" ht="22.5" hidden="1" customHeight="1" x14ac:dyDescent="0.15">
      <c r="A16" s="1"/>
      <c r="D16" t="s">
        <v>442</v>
      </c>
      <c r="E16" t="s">
        <v>933</v>
      </c>
      <c r="F16" t="s">
        <v>934</v>
      </c>
      <c r="X16">
        <v>0</v>
      </c>
    </row>
    <row r="17" spans="1:24" ht="22.5" hidden="1" customHeight="1" x14ac:dyDescent="0.15">
      <c r="A17" s="1"/>
      <c r="D17" t="s">
        <v>450</v>
      </c>
      <c r="E17" t="s">
        <v>935</v>
      </c>
      <c r="F17" t="s">
        <v>936</v>
      </c>
      <c r="X17">
        <v>0</v>
      </c>
    </row>
    <row r="18" spans="1:24" ht="33.75" hidden="1" customHeight="1" x14ac:dyDescent="0.15">
      <c r="A18" s="1"/>
      <c r="D18" t="s">
        <v>452</v>
      </c>
      <c r="E18" t="s">
        <v>937</v>
      </c>
      <c r="F18" t="s">
        <v>688</v>
      </c>
      <c r="X18">
        <v>0</v>
      </c>
    </row>
    <row r="19" spans="1:24" ht="101.25" hidden="1" customHeight="1" x14ac:dyDescent="0.15">
      <c r="A19" s="1"/>
      <c r="D19" t="s">
        <v>93</v>
      </c>
      <c r="E19" t="s">
        <v>938</v>
      </c>
      <c r="F19" t="s">
        <v>663</v>
      </c>
      <c r="K19" t="s">
        <v>939</v>
      </c>
      <c r="X19">
        <v>0</v>
      </c>
    </row>
    <row r="20" spans="1:24" ht="18.75" hidden="1" customHeight="1" x14ac:dyDescent="0.15">
      <c r="A20" s="1"/>
      <c r="D20" t="s">
        <v>870</v>
      </c>
      <c r="E20" t="s">
        <v>940</v>
      </c>
      <c r="F20" t="s">
        <v>424</v>
      </c>
      <c r="G20" t="s">
        <v>424</v>
      </c>
      <c r="H20" t="s">
        <v>424</v>
      </c>
      <c r="I20" t="s">
        <v>424</v>
      </c>
      <c r="J20" t="s">
        <v>424</v>
      </c>
      <c r="X20">
        <v>0</v>
      </c>
    </row>
    <row r="21" spans="1:24" ht="33.75" hidden="1" customHeight="1" x14ac:dyDescent="0.15">
      <c r="A21" s="1"/>
      <c r="D21" t="s">
        <v>873</v>
      </c>
      <c r="E21" t="s">
        <v>941</v>
      </c>
      <c r="F21" t="s">
        <v>942</v>
      </c>
      <c r="X21">
        <v>0</v>
      </c>
    </row>
    <row r="22" spans="1:24" ht="33.75" hidden="1" customHeight="1" x14ac:dyDescent="0.15">
      <c r="A22" s="1"/>
      <c r="D22" t="s">
        <v>876</v>
      </c>
      <c r="E22" t="s">
        <v>943</v>
      </c>
      <c r="F22" t="s">
        <v>944</v>
      </c>
      <c r="X22">
        <v>0</v>
      </c>
    </row>
    <row r="23" spans="1:24" ht="22.5" hidden="1" customHeight="1" x14ac:dyDescent="0.15">
      <c r="A23" s="1"/>
      <c r="D23" t="s">
        <v>912</v>
      </c>
      <c r="E23" t="s">
        <v>945</v>
      </c>
      <c r="F23" t="s">
        <v>424</v>
      </c>
      <c r="G23" t="s">
        <v>424</v>
      </c>
      <c r="H23" t="s">
        <v>424</v>
      </c>
      <c r="I23" t="s">
        <v>424</v>
      </c>
      <c r="J23" t="s">
        <v>424</v>
      </c>
      <c r="X23">
        <v>0</v>
      </c>
    </row>
    <row r="24" spans="1:24" ht="22.5" hidden="1" customHeight="1" x14ac:dyDescent="0.15">
      <c r="A24" s="1"/>
      <c r="D24" t="s">
        <v>946</v>
      </c>
      <c r="E24" t="s">
        <v>947</v>
      </c>
      <c r="F24" t="s">
        <v>948</v>
      </c>
      <c r="X24">
        <v>0</v>
      </c>
    </row>
    <row r="25" spans="1:24" ht="22.5" hidden="1" customHeight="1" x14ac:dyDescent="0.15">
      <c r="A25" s="1"/>
      <c r="D25" t="s">
        <v>949</v>
      </c>
      <c r="E25" t="s">
        <v>950</v>
      </c>
      <c r="F25" t="s">
        <v>424</v>
      </c>
      <c r="G25" t="s">
        <v>424</v>
      </c>
      <c r="H25" t="s">
        <v>424</v>
      </c>
      <c r="I25" t="s">
        <v>424</v>
      </c>
      <c r="J25" t="s">
        <v>424</v>
      </c>
      <c r="X25">
        <v>0</v>
      </c>
    </row>
    <row r="26" spans="1:24" ht="18.75" hidden="1" customHeight="1" x14ac:dyDescent="0.15">
      <c r="A26" s="1"/>
      <c r="D26" t="s">
        <v>951</v>
      </c>
      <c r="E26" t="s">
        <v>952</v>
      </c>
      <c r="F26" t="s">
        <v>953</v>
      </c>
      <c r="X26">
        <v>0</v>
      </c>
    </row>
    <row r="27" spans="1:24" ht="18.75" hidden="1" customHeight="1" x14ac:dyDescent="0.15">
      <c r="A27" s="1"/>
      <c r="D27" t="s">
        <v>954</v>
      </c>
      <c r="E27" t="s">
        <v>955</v>
      </c>
      <c r="F27" t="s">
        <v>956</v>
      </c>
      <c r="X27">
        <v>0</v>
      </c>
    </row>
    <row r="28" spans="1:24" ht="18.75" hidden="1" customHeight="1" x14ac:dyDescent="0.15">
      <c r="A28" s="1"/>
      <c r="D28" t="s">
        <v>957</v>
      </c>
      <c r="E28" t="s">
        <v>958</v>
      </c>
      <c r="F28" t="s">
        <v>424</v>
      </c>
      <c r="G28" t="s">
        <v>424</v>
      </c>
      <c r="H28" t="s">
        <v>424</v>
      </c>
      <c r="I28" t="s">
        <v>424</v>
      </c>
      <c r="J28" t="s">
        <v>424</v>
      </c>
      <c r="X28">
        <v>0</v>
      </c>
    </row>
    <row r="29" spans="1:24" ht="18.75" hidden="1" customHeight="1" x14ac:dyDescent="0.15">
      <c r="A29" s="1"/>
      <c r="D29" t="s">
        <v>959</v>
      </c>
      <c r="E29" t="s">
        <v>952</v>
      </c>
      <c r="F29" t="s">
        <v>960</v>
      </c>
      <c r="X29">
        <v>0</v>
      </c>
    </row>
    <row r="30" spans="1:24" ht="18.75" hidden="1" customHeight="1" x14ac:dyDescent="0.15">
      <c r="A30" s="1"/>
      <c r="D30" t="s">
        <v>961</v>
      </c>
      <c r="E30" t="s">
        <v>962</v>
      </c>
      <c r="F30" t="s">
        <v>963</v>
      </c>
      <c r="X30">
        <v>0</v>
      </c>
    </row>
    <row r="31" spans="1:24" ht="126.75" hidden="1" customHeight="1" x14ac:dyDescent="0.15">
      <c r="A31" s="1"/>
      <c r="D31" t="s">
        <v>120</v>
      </c>
      <c r="E31" t="s">
        <v>964</v>
      </c>
      <c r="F31" t="s">
        <v>675</v>
      </c>
      <c r="K31" t="s">
        <v>965</v>
      </c>
      <c r="X31">
        <v>0</v>
      </c>
    </row>
    <row r="32" spans="1:24" ht="56.25" hidden="1" customHeight="1" x14ac:dyDescent="0.15">
      <c r="A32" s="1"/>
      <c r="D32" t="s">
        <v>94</v>
      </c>
      <c r="E32" t="s">
        <v>966</v>
      </c>
      <c r="F32" t="s">
        <v>936</v>
      </c>
      <c r="K32" t="s">
        <v>967</v>
      </c>
      <c r="X32">
        <v>0</v>
      </c>
    </row>
    <row r="33" spans="1:24" ht="11.25" hidden="1" customHeight="1" x14ac:dyDescent="0.15">
      <c r="A33" s="1"/>
      <c r="X33">
        <v>0</v>
      </c>
    </row>
    <row r="34" spans="1:24" ht="12.75" hidden="1" customHeight="1" x14ac:dyDescent="0.15">
      <c r="A34" s="1"/>
      <c r="D34">
        <v>1</v>
      </c>
      <c r="E34" t="s">
        <v>968</v>
      </c>
      <c r="X34">
        <v>0</v>
      </c>
    </row>
    <row r="35" spans="1:24" ht="11.25" hidden="1" customHeight="1" x14ac:dyDescent="0.15">
      <c r="A35" s="1"/>
      <c r="E35" t="s">
        <v>969</v>
      </c>
      <c r="X35">
        <v>0</v>
      </c>
    </row>
    <row r="36" spans="1:24" ht="11.45" customHeight="1" x14ac:dyDescent="0.15">
      <c r="X36">
        <v>11</v>
      </c>
    </row>
    <row r="37" spans="1:24" ht="22.5" hidden="1" customHeight="1" x14ac:dyDescent="0.15">
      <c r="A37" s="1" t="s">
        <v>970</v>
      </c>
      <c r="D37">
        <v>1</v>
      </c>
      <c r="E37" t="s">
        <v>971</v>
      </c>
      <c r="F37" t="s">
        <v>926</v>
      </c>
      <c r="K37" t="s">
        <v>972</v>
      </c>
      <c r="X37">
        <v>0</v>
      </c>
    </row>
    <row r="38" spans="1:24" ht="22.5" hidden="1" customHeight="1" x14ac:dyDescent="0.15">
      <c r="A38" s="1"/>
      <c r="D38" t="s">
        <v>105</v>
      </c>
      <c r="E38" t="s">
        <v>973</v>
      </c>
      <c r="F38" t="s">
        <v>663</v>
      </c>
      <c r="G38" t="s">
        <v>663</v>
      </c>
      <c r="I38" t="s">
        <v>663</v>
      </c>
      <c r="X38">
        <v>0</v>
      </c>
    </row>
    <row r="39" spans="1:24" ht="33.75" hidden="1" customHeight="1" x14ac:dyDescent="0.15">
      <c r="A39" s="1"/>
      <c r="D39" t="s">
        <v>828</v>
      </c>
      <c r="E39" t="s">
        <v>974</v>
      </c>
      <c r="F39" t="s">
        <v>975</v>
      </c>
      <c r="K39" t="s">
        <v>976</v>
      </c>
      <c r="X39">
        <v>0</v>
      </c>
    </row>
    <row r="40" spans="1:24" ht="33.75" hidden="1" customHeight="1" x14ac:dyDescent="0.15">
      <c r="A40" s="1"/>
      <c r="D40" t="s">
        <v>831</v>
      </c>
      <c r="E40" t="s">
        <v>977</v>
      </c>
      <c r="F40" t="s">
        <v>978</v>
      </c>
      <c r="K40" t="s">
        <v>979</v>
      </c>
      <c r="X40">
        <v>0</v>
      </c>
    </row>
    <row r="41" spans="1:24" ht="22.5" hidden="1" customHeight="1" x14ac:dyDescent="0.15">
      <c r="A41" s="1"/>
      <c r="D41" t="s">
        <v>92</v>
      </c>
      <c r="E41" t="s">
        <v>980</v>
      </c>
      <c r="F41" t="s">
        <v>663</v>
      </c>
      <c r="G41" t="s">
        <v>663</v>
      </c>
      <c r="I41" t="s">
        <v>663</v>
      </c>
      <c r="X41">
        <v>0</v>
      </c>
    </row>
    <row r="42" spans="1:24" ht="45" hidden="1" customHeight="1" x14ac:dyDescent="0.15">
      <c r="A42" s="1"/>
      <c r="D42" t="s">
        <v>442</v>
      </c>
      <c r="E42" t="s">
        <v>981</v>
      </c>
      <c r="F42" t="s">
        <v>675</v>
      </c>
      <c r="K42" t="s">
        <v>982</v>
      </c>
      <c r="X42">
        <v>0</v>
      </c>
    </row>
    <row r="43" spans="1:24" ht="45" hidden="1" customHeight="1" x14ac:dyDescent="0.15">
      <c r="A43" s="1"/>
      <c r="D43" t="s">
        <v>450</v>
      </c>
      <c r="E43" t="s">
        <v>983</v>
      </c>
      <c r="F43" t="s">
        <v>675</v>
      </c>
      <c r="K43" t="s">
        <v>984</v>
      </c>
      <c r="X43">
        <v>0</v>
      </c>
    </row>
    <row r="44" spans="1:24" ht="11.25" hidden="1" customHeight="1" x14ac:dyDescent="0.15">
      <c r="A44" s="1"/>
      <c r="D44" t="s">
        <v>93</v>
      </c>
      <c r="E44" t="s">
        <v>985</v>
      </c>
      <c r="F44" t="s">
        <v>975</v>
      </c>
      <c r="X44">
        <v>0</v>
      </c>
    </row>
    <row r="45" spans="1:24" ht="11.25" hidden="1" customHeight="1" x14ac:dyDescent="0.15">
      <c r="A45" s="1"/>
      <c r="D45" t="s">
        <v>870</v>
      </c>
      <c r="E45" t="s">
        <v>986</v>
      </c>
      <c r="F45" t="s">
        <v>975</v>
      </c>
      <c r="X45">
        <v>0</v>
      </c>
    </row>
    <row r="46" spans="1:24" ht="11.25" hidden="1" customHeight="1" x14ac:dyDescent="0.15">
      <c r="A46" s="1"/>
      <c r="D46" t="s">
        <v>912</v>
      </c>
      <c r="E46" t="s">
        <v>987</v>
      </c>
      <c r="F46" t="s">
        <v>975</v>
      </c>
      <c r="X46">
        <v>0</v>
      </c>
    </row>
    <row r="47" spans="1:24" ht="11.25" hidden="1" customHeight="1" x14ac:dyDescent="0.15">
      <c r="A47" s="1"/>
      <c r="D47" t="s">
        <v>915</v>
      </c>
      <c r="E47" t="s">
        <v>988</v>
      </c>
      <c r="F47" t="s">
        <v>975</v>
      </c>
      <c r="X47">
        <v>0</v>
      </c>
    </row>
    <row r="48" spans="1:24" ht="11.25" hidden="1" customHeight="1" x14ac:dyDescent="0.15">
      <c r="A48" s="1"/>
      <c r="D48" t="s">
        <v>989</v>
      </c>
      <c r="E48" t="s">
        <v>990</v>
      </c>
      <c r="F48" t="s">
        <v>975</v>
      </c>
      <c r="X48">
        <v>0</v>
      </c>
    </row>
    <row r="49" spans="1:24" ht="11.25" hidden="1" customHeight="1" x14ac:dyDescent="0.15">
      <c r="A49" s="1"/>
      <c r="D49" t="s">
        <v>991</v>
      </c>
      <c r="E49" t="s">
        <v>992</v>
      </c>
      <c r="F49" t="s">
        <v>975</v>
      </c>
      <c r="X49">
        <v>0</v>
      </c>
    </row>
    <row r="50" spans="1:24" ht="11.25" hidden="1" customHeight="1" x14ac:dyDescent="0.15">
      <c r="A50" s="1"/>
      <c r="D50" t="s">
        <v>993</v>
      </c>
      <c r="E50" t="s">
        <v>994</v>
      </c>
      <c r="F50" t="s">
        <v>975</v>
      </c>
      <c r="X50">
        <v>0</v>
      </c>
    </row>
    <row r="51" spans="1:24" ht="11.25" hidden="1" customHeight="1" x14ac:dyDescent="0.15">
      <c r="A51" s="1"/>
      <c r="D51" t="s">
        <v>995</v>
      </c>
      <c r="E51" t="s">
        <v>996</v>
      </c>
      <c r="F51" t="s">
        <v>975</v>
      </c>
      <c r="X51">
        <v>0</v>
      </c>
    </row>
    <row r="52" spans="1:24" ht="45" hidden="1" customHeight="1" x14ac:dyDescent="0.15">
      <c r="A52" s="1"/>
      <c r="D52" t="s">
        <v>120</v>
      </c>
      <c r="E52" t="s">
        <v>997</v>
      </c>
      <c r="F52" t="s">
        <v>975</v>
      </c>
      <c r="X52">
        <v>0</v>
      </c>
    </row>
    <row r="53" spans="1:24" ht="11.25" hidden="1" customHeight="1" x14ac:dyDescent="0.15">
      <c r="A53" s="1"/>
      <c r="D53" t="s">
        <v>431</v>
      </c>
      <c r="E53" t="s">
        <v>986</v>
      </c>
      <c r="F53" t="s">
        <v>975</v>
      </c>
      <c r="X53">
        <v>0</v>
      </c>
    </row>
    <row r="54" spans="1:24" ht="11.25" hidden="1" customHeight="1" x14ac:dyDescent="0.15">
      <c r="A54" s="1"/>
      <c r="D54" t="s">
        <v>998</v>
      </c>
      <c r="E54" t="s">
        <v>987</v>
      </c>
      <c r="F54" t="s">
        <v>975</v>
      </c>
      <c r="X54">
        <v>0</v>
      </c>
    </row>
    <row r="55" spans="1:24" ht="11.25" hidden="1" customHeight="1" x14ac:dyDescent="0.15">
      <c r="A55" s="1"/>
      <c r="D55" t="s">
        <v>999</v>
      </c>
      <c r="E55" t="s">
        <v>988</v>
      </c>
      <c r="F55" t="s">
        <v>975</v>
      </c>
      <c r="X55">
        <v>0</v>
      </c>
    </row>
    <row r="56" spans="1:24" ht="11.25" hidden="1" customHeight="1" x14ac:dyDescent="0.15">
      <c r="A56" s="1"/>
      <c r="D56" t="s">
        <v>1000</v>
      </c>
      <c r="E56" t="s">
        <v>990</v>
      </c>
      <c r="F56" t="s">
        <v>975</v>
      </c>
      <c r="X56">
        <v>0</v>
      </c>
    </row>
    <row r="57" spans="1:24" ht="11.25" hidden="1" customHeight="1" x14ac:dyDescent="0.15">
      <c r="A57" s="1"/>
      <c r="D57" t="s">
        <v>1001</v>
      </c>
      <c r="E57" t="s">
        <v>992</v>
      </c>
      <c r="F57" t="s">
        <v>975</v>
      </c>
      <c r="X57">
        <v>0</v>
      </c>
    </row>
    <row r="58" spans="1:24" ht="11.25" hidden="1" customHeight="1" x14ac:dyDescent="0.15">
      <c r="A58" s="1"/>
      <c r="D58" t="s">
        <v>1002</v>
      </c>
      <c r="E58" t="s">
        <v>994</v>
      </c>
      <c r="F58" t="s">
        <v>975</v>
      </c>
      <c r="X58">
        <v>0</v>
      </c>
    </row>
    <row r="59" spans="1:24" ht="11.25" hidden="1" customHeight="1" x14ac:dyDescent="0.15">
      <c r="A59" s="1"/>
      <c r="D59" t="s">
        <v>1003</v>
      </c>
      <c r="E59" t="s">
        <v>996</v>
      </c>
      <c r="F59" t="s">
        <v>975</v>
      </c>
      <c r="X59">
        <v>0</v>
      </c>
    </row>
    <row r="60" spans="1:24" ht="33.75" hidden="1" customHeight="1" x14ac:dyDescent="0.15">
      <c r="A60" s="1"/>
      <c r="D60" t="s">
        <v>94</v>
      </c>
      <c r="E60" t="s">
        <v>1004</v>
      </c>
      <c r="F60" t="s">
        <v>675</v>
      </c>
      <c r="K60" t="s">
        <v>1005</v>
      </c>
      <c r="X60">
        <v>0</v>
      </c>
    </row>
    <row r="61" spans="1:24" ht="33.75" hidden="1" customHeight="1" x14ac:dyDescent="0.15">
      <c r="A61" s="1"/>
      <c r="D61" t="s">
        <v>95</v>
      </c>
      <c r="E61" t="s">
        <v>1006</v>
      </c>
      <c r="F61" t="s">
        <v>936</v>
      </c>
      <c r="X61">
        <v>0</v>
      </c>
    </row>
    <row r="62" spans="1:24" ht="22.5" hidden="1" customHeight="1" x14ac:dyDescent="0.15">
      <c r="A62" s="1"/>
      <c r="B62" t="s">
        <v>705</v>
      </c>
      <c r="D62" t="s">
        <v>134</v>
      </c>
      <c r="E62" t="s">
        <v>1007</v>
      </c>
      <c r="F62" t="s">
        <v>424</v>
      </c>
      <c r="K62" t="s">
        <v>748</v>
      </c>
      <c r="X62">
        <v>0</v>
      </c>
    </row>
    <row r="63" spans="1:24" ht="45" hidden="1" customHeight="1" x14ac:dyDescent="0.15">
      <c r="A63" s="1"/>
      <c r="B63" t="s">
        <v>705</v>
      </c>
      <c r="D63" t="s">
        <v>1008</v>
      </c>
      <c r="E63" t="s">
        <v>1009</v>
      </c>
      <c r="F63" t="s">
        <v>424</v>
      </c>
      <c r="K63" t="s">
        <v>748</v>
      </c>
      <c r="X63">
        <v>0</v>
      </c>
    </row>
    <row r="64" spans="1:24" ht="11.45" customHeight="1" x14ac:dyDescent="0.15">
      <c r="X64">
        <v>11</v>
      </c>
    </row>
    <row r="65" spans="1:24" ht="22.5" hidden="1" customHeight="1" x14ac:dyDescent="0.15">
      <c r="A65" s="1" t="s">
        <v>1010</v>
      </c>
      <c r="D65">
        <v>1</v>
      </c>
      <c r="E65" t="s">
        <v>1011</v>
      </c>
      <c r="F65" t="s">
        <v>926</v>
      </c>
      <c r="K65" t="s">
        <v>1012</v>
      </c>
      <c r="X65">
        <v>0</v>
      </c>
    </row>
    <row r="66" spans="1:24" ht="56.25" hidden="1" customHeight="1" x14ac:dyDescent="0.15">
      <c r="A66" s="1"/>
      <c r="D66" t="s">
        <v>105</v>
      </c>
      <c r="E66" t="s">
        <v>1013</v>
      </c>
      <c r="F66" t="s">
        <v>663</v>
      </c>
      <c r="G66" t="s">
        <v>663</v>
      </c>
      <c r="I66" t="s">
        <v>663</v>
      </c>
      <c r="X66">
        <v>0</v>
      </c>
    </row>
    <row r="67" spans="1:24" ht="33.75" hidden="1" customHeight="1" x14ac:dyDescent="0.15">
      <c r="A67" s="1"/>
      <c r="D67" t="s">
        <v>825</v>
      </c>
      <c r="E67" t="s">
        <v>1014</v>
      </c>
      <c r="F67" t="s">
        <v>978</v>
      </c>
      <c r="X67">
        <v>0</v>
      </c>
    </row>
    <row r="68" spans="1:24" ht="22.5" hidden="1" customHeight="1" x14ac:dyDescent="0.15">
      <c r="A68" s="1"/>
      <c r="D68" t="s">
        <v>425</v>
      </c>
      <c r="E68" t="s">
        <v>1015</v>
      </c>
      <c r="F68" t="s">
        <v>978</v>
      </c>
      <c r="X68">
        <v>0</v>
      </c>
    </row>
    <row r="69" spans="1:24" ht="22.5" hidden="1" customHeight="1" x14ac:dyDescent="0.15">
      <c r="A69" s="1"/>
      <c r="D69" t="s">
        <v>428</v>
      </c>
      <c r="E69" t="s">
        <v>1016</v>
      </c>
      <c r="F69" t="s">
        <v>675</v>
      </c>
      <c r="X69">
        <v>0</v>
      </c>
    </row>
    <row r="70" spans="1:24" ht="22.5" hidden="1" customHeight="1" x14ac:dyDescent="0.15">
      <c r="A70" s="1"/>
      <c r="D70" t="s">
        <v>845</v>
      </c>
      <c r="E70" t="s">
        <v>1017</v>
      </c>
      <c r="F70" t="s">
        <v>675</v>
      </c>
      <c r="X70">
        <v>0</v>
      </c>
    </row>
    <row r="71" spans="1:24" ht="22.5" hidden="1" customHeight="1" x14ac:dyDescent="0.15">
      <c r="A71" s="1"/>
      <c r="D71" t="s">
        <v>92</v>
      </c>
      <c r="E71" t="s">
        <v>1018</v>
      </c>
      <c r="F71" t="s">
        <v>978</v>
      </c>
      <c r="X71">
        <v>0</v>
      </c>
    </row>
    <row r="72" spans="1:24" ht="56.25" hidden="1" customHeight="1" x14ac:dyDescent="0.15">
      <c r="A72" s="1"/>
      <c r="D72" t="s">
        <v>93</v>
      </c>
      <c r="E72" t="s">
        <v>1019</v>
      </c>
      <c r="F72" t="s">
        <v>675</v>
      </c>
      <c r="X72">
        <v>0</v>
      </c>
    </row>
    <row r="73" spans="1:24" ht="33.75" hidden="1" customHeight="1" x14ac:dyDescent="0.15">
      <c r="A73" s="1"/>
      <c r="D73" t="s">
        <v>120</v>
      </c>
      <c r="E73" t="s">
        <v>1020</v>
      </c>
      <c r="F73" t="s">
        <v>936</v>
      </c>
      <c r="X73">
        <v>0</v>
      </c>
    </row>
    <row r="74" spans="1:24" ht="22.5" hidden="1" customHeight="1" x14ac:dyDescent="0.15">
      <c r="A74" s="1"/>
      <c r="B74" t="s">
        <v>705</v>
      </c>
      <c r="D74" t="s">
        <v>94</v>
      </c>
      <c r="E74" t="s">
        <v>1021</v>
      </c>
      <c r="F74" t="s">
        <v>424</v>
      </c>
      <c r="K74" t="s">
        <v>748</v>
      </c>
      <c r="X74">
        <v>0</v>
      </c>
    </row>
    <row r="75" spans="1:24" ht="45" hidden="1" customHeight="1" x14ac:dyDescent="0.15">
      <c r="A75" s="1"/>
      <c r="B75" t="s">
        <v>705</v>
      </c>
      <c r="D75" t="s">
        <v>769</v>
      </c>
      <c r="E75" t="s">
        <v>1022</v>
      </c>
      <c r="F75" t="s">
        <v>424</v>
      </c>
      <c r="K75" t="s">
        <v>748</v>
      </c>
      <c r="X75">
        <v>0</v>
      </c>
    </row>
    <row r="76" spans="1:24" ht="11.45" customHeight="1" x14ac:dyDescent="0.15">
      <c r="X76">
        <v>11</v>
      </c>
    </row>
    <row r="77" spans="1:24" ht="11.25" customHeight="1" x14ac:dyDescent="0.15">
      <c r="A77" s="1" t="s">
        <v>1023</v>
      </c>
      <c r="D77">
        <v>1</v>
      </c>
      <c r="E77" t="s">
        <v>1024</v>
      </c>
      <c r="F77" t="s">
        <v>926</v>
      </c>
      <c r="K77" t="s">
        <v>1025</v>
      </c>
      <c r="X77">
        <v>0</v>
      </c>
    </row>
    <row r="78" spans="1:24" ht="11.25" customHeight="1" x14ac:dyDescent="0.15">
      <c r="A78" s="1"/>
      <c r="D78" t="s">
        <v>105</v>
      </c>
      <c r="E78" t="s">
        <v>1026</v>
      </c>
      <c r="F78" t="s">
        <v>926</v>
      </c>
      <c r="K78" t="s">
        <v>1027</v>
      </c>
      <c r="X78">
        <v>0</v>
      </c>
    </row>
    <row r="79" spans="1:24" ht="22.5" customHeight="1" x14ac:dyDescent="0.15">
      <c r="A79" s="1"/>
      <c r="D79" t="s">
        <v>92</v>
      </c>
      <c r="E79" t="s">
        <v>1028</v>
      </c>
      <c r="F79" t="s">
        <v>975</v>
      </c>
      <c r="K79" t="s">
        <v>1029</v>
      </c>
      <c r="X79">
        <v>0</v>
      </c>
    </row>
    <row r="80" spans="1:24" ht="11.25" customHeight="1" x14ac:dyDescent="0.15">
      <c r="A80" s="1"/>
      <c r="D80" t="s">
        <v>442</v>
      </c>
      <c r="E80" t="s">
        <v>1030</v>
      </c>
      <c r="F80" t="s">
        <v>975</v>
      </c>
      <c r="X80">
        <v>0</v>
      </c>
    </row>
    <row r="81" spans="1:24" ht="11.25" customHeight="1" x14ac:dyDescent="0.15">
      <c r="A81" s="1"/>
      <c r="D81" t="s">
        <v>450</v>
      </c>
      <c r="E81" t="s">
        <v>1031</v>
      </c>
      <c r="F81" t="s">
        <v>975</v>
      </c>
      <c r="X81">
        <v>0</v>
      </c>
    </row>
    <row r="82" spans="1:24" ht="11.25" customHeight="1" x14ac:dyDescent="0.15">
      <c r="A82" s="1"/>
      <c r="D82" t="s">
        <v>452</v>
      </c>
      <c r="E82" t="s">
        <v>1032</v>
      </c>
      <c r="F82" t="s">
        <v>975</v>
      </c>
      <c r="X82">
        <v>0</v>
      </c>
    </row>
    <row r="83" spans="1:24" ht="11.25" customHeight="1" x14ac:dyDescent="0.15">
      <c r="A83" s="1"/>
      <c r="D83" t="s">
        <v>454</v>
      </c>
      <c r="E83" t="s">
        <v>1033</v>
      </c>
      <c r="F83" t="s">
        <v>975</v>
      </c>
      <c r="X83">
        <v>0</v>
      </c>
    </row>
    <row r="84" spans="1:24" ht="11.25" customHeight="1" x14ac:dyDescent="0.15">
      <c r="A84" s="1"/>
      <c r="D84" t="s">
        <v>1034</v>
      </c>
      <c r="E84" t="s">
        <v>1035</v>
      </c>
      <c r="F84" t="s">
        <v>975</v>
      </c>
      <c r="X84">
        <v>0</v>
      </c>
    </row>
    <row r="85" spans="1:24" ht="11.25" customHeight="1" x14ac:dyDescent="0.15">
      <c r="A85" s="1"/>
      <c r="D85" t="s">
        <v>1036</v>
      </c>
      <c r="E85" t="s">
        <v>1037</v>
      </c>
      <c r="F85" t="s">
        <v>975</v>
      </c>
      <c r="X85">
        <v>0</v>
      </c>
    </row>
    <row r="86" spans="1:24" ht="11.25" customHeight="1" x14ac:dyDescent="0.15">
      <c r="A86" s="1"/>
      <c r="D86" t="s">
        <v>1038</v>
      </c>
      <c r="E86" t="s">
        <v>1039</v>
      </c>
      <c r="F86" t="s">
        <v>975</v>
      </c>
      <c r="X86">
        <v>0</v>
      </c>
    </row>
    <row r="87" spans="1:24" ht="45" customHeight="1" x14ac:dyDescent="0.15">
      <c r="A87" s="1"/>
      <c r="D87" t="s">
        <v>93</v>
      </c>
      <c r="E87" t="s">
        <v>1040</v>
      </c>
      <c r="F87" t="s">
        <v>975</v>
      </c>
      <c r="K87" t="s">
        <v>1041</v>
      </c>
      <c r="X87">
        <v>0</v>
      </c>
    </row>
    <row r="88" spans="1:24" ht="11.25" customHeight="1" x14ac:dyDescent="0.15">
      <c r="A88" s="1"/>
      <c r="D88" t="s">
        <v>870</v>
      </c>
      <c r="E88" t="s">
        <v>1030</v>
      </c>
      <c r="F88" t="s">
        <v>975</v>
      </c>
      <c r="X88">
        <v>0</v>
      </c>
    </row>
    <row r="89" spans="1:24" ht="11.25" customHeight="1" x14ac:dyDescent="0.15">
      <c r="A89" s="1"/>
      <c r="D89" t="s">
        <v>912</v>
      </c>
      <c r="E89" t="s">
        <v>1031</v>
      </c>
      <c r="F89" t="s">
        <v>975</v>
      </c>
      <c r="X89">
        <v>0</v>
      </c>
    </row>
    <row r="90" spans="1:24" ht="11.25" customHeight="1" x14ac:dyDescent="0.15">
      <c r="A90" s="1"/>
      <c r="D90" t="s">
        <v>915</v>
      </c>
      <c r="E90" t="s">
        <v>1032</v>
      </c>
      <c r="F90" t="s">
        <v>975</v>
      </c>
      <c r="X90">
        <v>0</v>
      </c>
    </row>
    <row r="91" spans="1:24" ht="11.25" customHeight="1" x14ac:dyDescent="0.15">
      <c r="A91" s="1"/>
      <c r="D91" t="s">
        <v>993</v>
      </c>
      <c r="E91" t="s">
        <v>1033</v>
      </c>
      <c r="F91" t="s">
        <v>975</v>
      </c>
      <c r="X91">
        <v>0</v>
      </c>
    </row>
    <row r="92" spans="1:24" ht="11.25" customHeight="1" x14ac:dyDescent="0.15">
      <c r="A92" s="1"/>
      <c r="D92" t="s">
        <v>995</v>
      </c>
      <c r="E92" t="s">
        <v>1035</v>
      </c>
      <c r="F92" t="s">
        <v>975</v>
      </c>
      <c r="X92">
        <v>0</v>
      </c>
    </row>
    <row r="93" spans="1:24" ht="11.25" customHeight="1" x14ac:dyDescent="0.15">
      <c r="A93" s="1"/>
      <c r="D93" t="s">
        <v>1042</v>
      </c>
      <c r="E93" t="s">
        <v>1037</v>
      </c>
      <c r="F93" t="s">
        <v>975</v>
      </c>
      <c r="X93">
        <v>0</v>
      </c>
    </row>
    <row r="94" spans="1:24" ht="11.25" customHeight="1" x14ac:dyDescent="0.15">
      <c r="A94" s="1"/>
      <c r="D94" t="s">
        <v>1043</v>
      </c>
      <c r="E94" t="s">
        <v>1039</v>
      </c>
      <c r="F94" t="s">
        <v>975</v>
      </c>
      <c r="X94">
        <v>0</v>
      </c>
    </row>
    <row r="95" spans="1:24" ht="24.75" customHeight="1" x14ac:dyDescent="0.15">
      <c r="A95" s="1"/>
      <c r="D95" t="s">
        <v>120</v>
      </c>
      <c r="E95" t="s">
        <v>1044</v>
      </c>
      <c r="F95" t="s">
        <v>675</v>
      </c>
      <c r="K95" t="s">
        <v>1045</v>
      </c>
      <c r="X95">
        <v>0</v>
      </c>
    </row>
    <row r="96" spans="1:24" ht="33.75" customHeight="1" x14ac:dyDescent="0.15">
      <c r="A96" s="1"/>
      <c r="D96" t="s">
        <v>94</v>
      </c>
      <c r="E96" t="s">
        <v>1046</v>
      </c>
      <c r="F96" t="s">
        <v>936</v>
      </c>
      <c r="X96">
        <v>0</v>
      </c>
    </row>
    <row r="97" spans="1:24" ht="22.5" customHeight="1" x14ac:dyDescent="0.15">
      <c r="A97" s="1"/>
      <c r="B97" t="s">
        <v>705</v>
      </c>
      <c r="D97" t="s">
        <v>95</v>
      </c>
      <c r="E97" t="s">
        <v>1047</v>
      </c>
      <c r="F97" t="s">
        <v>424</v>
      </c>
      <c r="K97" t="s">
        <v>748</v>
      </c>
      <c r="X97">
        <v>0</v>
      </c>
    </row>
    <row r="98" spans="1:24" ht="45" customHeight="1" x14ac:dyDescent="0.15">
      <c r="A98" s="1"/>
      <c r="B98" t="s">
        <v>705</v>
      </c>
      <c r="D98" t="s">
        <v>1048</v>
      </c>
      <c r="E98" t="s">
        <v>1049</v>
      </c>
      <c r="F98" t="s">
        <v>424</v>
      </c>
      <c r="K98" t="s">
        <v>748</v>
      </c>
      <c r="X98">
        <v>0</v>
      </c>
    </row>
    <row r="99" spans="1:24" ht="95.25" customHeight="1" x14ac:dyDescent="0.15">
      <c r="A99" s="1"/>
      <c r="B99" t="s">
        <v>705</v>
      </c>
      <c r="D99" t="s">
        <v>134</v>
      </c>
      <c r="E99" t="s">
        <v>1050</v>
      </c>
      <c r="F99" t="s">
        <v>424</v>
      </c>
      <c r="K99" t="s">
        <v>748</v>
      </c>
      <c r="X99">
        <v>0</v>
      </c>
    </row>
    <row r="100" spans="1:24" ht="22.5" customHeight="1" x14ac:dyDescent="0.15">
      <c r="A100" s="1"/>
      <c r="B100" t="s">
        <v>705</v>
      </c>
      <c r="D100" t="s">
        <v>139</v>
      </c>
      <c r="E100" t="s">
        <v>1051</v>
      </c>
      <c r="F100" t="s">
        <v>424</v>
      </c>
      <c r="K100" t="s">
        <v>748</v>
      </c>
      <c r="X100">
        <v>0</v>
      </c>
    </row>
    <row r="101" spans="1:24" ht="11.45" customHeight="1" x14ac:dyDescent="0.15">
      <c r="X101">
        <v>11</v>
      </c>
    </row>
    <row r="102" spans="1:24" ht="22.5" hidden="1" customHeight="1" x14ac:dyDescent="0.15">
      <c r="A102" t="s">
        <v>84</v>
      </c>
      <c r="B102">
        <v>0</v>
      </c>
      <c r="C102">
        <v>3</v>
      </c>
      <c r="D102">
        <v>7</v>
      </c>
      <c r="E102">
        <v>69</v>
      </c>
      <c r="F102">
        <v>10</v>
      </c>
      <c r="G102">
        <v>0</v>
      </c>
      <c r="H102">
        <v>0</v>
      </c>
      <c r="I102">
        <v>43</v>
      </c>
      <c r="J102">
        <v>43</v>
      </c>
      <c r="K102">
        <v>73</v>
      </c>
      <c r="L102">
        <v>3</v>
      </c>
      <c r="M102">
        <v>10</v>
      </c>
      <c r="N102">
        <v>10</v>
      </c>
      <c r="O102">
        <v>10</v>
      </c>
      <c r="P102">
        <v>10</v>
      </c>
      <c r="Q102">
        <v>10</v>
      </c>
      <c r="R102">
        <v>10</v>
      </c>
      <c r="S102">
        <v>10</v>
      </c>
      <c r="T102">
        <v>10</v>
      </c>
      <c r="U102">
        <v>10</v>
      </c>
      <c r="V102">
        <v>10</v>
      </c>
      <c r="W102">
        <v>10</v>
      </c>
      <c r="X10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x14ac:dyDescent="0.15"/>
  <cols>
    <col min="1" max="2" width="9.140625" hidden="1" customWidth="1"/>
    <col min="3" max="3" width="4" customWidth="1"/>
    <col min="4" max="4" width="6" customWidth="1"/>
    <col min="5" max="5" width="36" customWidth="1"/>
    <col min="6" max="6" width="9" customWidth="1"/>
    <col min="7" max="7" width="25.7109375" hidden="1" customWidth="1"/>
    <col min="8" max="8" width="33.7109375" hidden="1" customWidth="1"/>
    <col min="9" max="9" width="25.7109375" customWidth="1"/>
    <col min="10" max="10" width="33" customWidth="1"/>
    <col min="11" max="11" width="93" customWidth="1"/>
    <col min="12" max="21" width="10" customWidth="1"/>
    <col min="22" max="22" width="10.5703125" hidden="1"/>
  </cols>
  <sheetData>
    <row r="1" spans="2:22" ht="22.5" hidden="1" customHeight="1" x14ac:dyDescent="0.15">
      <c r="G1">
        <v>4</v>
      </c>
      <c r="I1">
        <v>4</v>
      </c>
      <c r="V1" t="s">
        <v>14</v>
      </c>
    </row>
    <row r="2" spans="2:22" ht="15" hidden="1" customHeight="1" x14ac:dyDescent="0.15">
      <c r="V2">
        <v>0</v>
      </c>
    </row>
    <row r="3" spans="2:22" ht="22.5" hidden="1" customHeight="1" x14ac:dyDescent="0.15">
      <c r="B3" s="1"/>
      <c r="C3" s="1" t="s">
        <v>106</v>
      </c>
      <c r="D3" t="str">
        <f>B3&amp;".1"</f>
        <v>.1</v>
      </c>
      <c r="E3" t="s">
        <v>1052</v>
      </c>
      <c r="F3" t="s">
        <v>424</v>
      </c>
      <c r="K3" t="s">
        <v>1053</v>
      </c>
      <c r="V3">
        <v>0</v>
      </c>
    </row>
    <row r="4" spans="2:22" ht="15" hidden="1" customHeight="1" x14ac:dyDescent="0.15">
      <c r="B4" s="1"/>
      <c r="C4" s="1"/>
      <c r="D4" t="str">
        <f>B3&amp;".2"</f>
        <v>.2</v>
      </c>
      <c r="E4" t="s">
        <v>1054</v>
      </c>
      <c r="F4" t="s">
        <v>424</v>
      </c>
      <c r="G4" t="s">
        <v>28</v>
      </c>
      <c r="I4" t="s">
        <v>28</v>
      </c>
      <c r="K4" t="s">
        <v>1055</v>
      </c>
      <c r="V4">
        <v>0</v>
      </c>
    </row>
    <row r="5" spans="2:22" ht="15" hidden="1" customHeight="1" x14ac:dyDescent="0.15">
      <c r="V5">
        <v>0</v>
      </c>
    </row>
    <row r="6" spans="2:22" ht="22.5" hidden="1" customHeight="1" x14ac:dyDescent="0.15">
      <c r="B6" s="1"/>
      <c r="C6" s="1" t="s">
        <v>106</v>
      </c>
      <c r="D6" t="str">
        <f>B6&amp;".1"</f>
        <v>.1</v>
      </c>
      <c r="E6" t="s">
        <v>1056</v>
      </c>
      <c r="F6" t="s">
        <v>424</v>
      </c>
      <c r="K6" t="s">
        <v>1057</v>
      </c>
      <c r="V6">
        <v>0</v>
      </c>
    </row>
    <row r="7" spans="2:22" ht="15" hidden="1" customHeight="1" x14ac:dyDescent="0.15">
      <c r="B7" s="1"/>
      <c r="C7" s="1"/>
      <c r="D7" t="str">
        <f>B6&amp;".2"</f>
        <v>.2</v>
      </c>
      <c r="E7" t="s">
        <v>1054</v>
      </c>
      <c r="F7" t="s">
        <v>424</v>
      </c>
      <c r="G7" t="s">
        <v>28</v>
      </c>
      <c r="I7" t="s">
        <v>28</v>
      </c>
      <c r="K7" t="s">
        <v>1055</v>
      </c>
      <c r="V7">
        <v>0</v>
      </c>
    </row>
    <row r="8" spans="2:22" ht="15" hidden="1" customHeight="1" x14ac:dyDescent="0.15">
      <c r="V8">
        <v>0</v>
      </c>
    </row>
    <row r="9" spans="2:22" ht="22.5" hidden="1" customHeight="1" x14ac:dyDescent="0.15">
      <c r="B9" s="1"/>
      <c r="C9" s="1" t="s">
        <v>106</v>
      </c>
      <c r="D9" t="str">
        <f>B9&amp;".1"</f>
        <v>.1</v>
      </c>
      <c r="E9" t="s">
        <v>1058</v>
      </c>
      <c r="F9" t="s">
        <v>424</v>
      </c>
      <c r="G9" t="s">
        <v>28</v>
      </c>
      <c r="H9" t="s">
        <v>28</v>
      </c>
      <c r="I9" t="s">
        <v>28</v>
      </c>
      <c r="J9" t="s">
        <v>28</v>
      </c>
      <c r="V9">
        <v>0</v>
      </c>
    </row>
    <row r="10" spans="2:22" ht="15" hidden="1" customHeight="1" x14ac:dyDescent="0.15">
      <c r="B10" s="1"/>
      <c r="C10" s="1"/>
      <c r="D10" t="str">
        <f>B9&amp;".2"</f>
        <v>.2</v>
      </c>
      <c r="E10" t="s">
        <v>1059</v>
      </c>
      <c r="F10" t="s">
        <v>424</v>
      </c>
      <c r="G10" t="s">
        <v>28</v>
      </c>
      <c r="H10" t="s">
        <v>28</v>
      </c>
      <c r="I10" t="s">
        <v>28</v>
      </c>
      <c r="J10" t="s">
        <v>28</v>
      </c>
      <c r="K10" t="s">
        <v>1060</v>
      </c>
      <c r="V10">
        <v>0</v>
      </c>
    </row>
    <row r="11" spans="2:22" ht="15" hidden="1" customHeight="1" x14ac:dyDescent="0.15">
      <c r="B11" s="1"/>
      <c r="C11" s="1"/>
      <c r="D11" t="str">
        <f>B9&amp;".3"</f>
        <v>.3</v>
      </c>
      <c r="E11" t="s">
        <v>1061</v>
      </c>
      <c r="F11" t="s">
        <v>424</v>
      </c>
      <c r="G11" t="s">
        <v>28</v>
      </c>
      <c r="H11" t="s">
        <v>28</v>
      </c>
      <c r="I11" t="s">
        <v>28</v>
      </c>
      <c r="J11" t="s">
        <v>28</v>
      </c>
      <c r="K11" t="s">
        <v>1062</v>
      </c>
      <c r="V11">
        <v>0</v>
      </c>
    </row>
    <row r="12" spans="2:22" ht="15" hidden="1" customHeight="1" x14ac:dyDescent="0.15">
      <c r="V12">
        <v>0</v>
      </c>
    </row>
    <row r="13" spans="2:22" ht="33.75" hidden="1" customHeight="1" x14ac:dyDescent="0.15">
      <c r="B13" s="1"/>
      <c r="C13" s="1" t="s">
        <v>106</v>
      </c>
      <c r="D13" t="str">
        <f>B13&amp;".1"</f>
        <v>.1</v>
      </c>
      <c r="E13" t="s">
        <v>1063</v>
      </c>
      <c r="F13" t="s">
        <v>424</v>
      </c>
      <c r="G13" t="s">
        <v>28</v>
      </c>
      <c r="H13" t="s">
        <v>28</v>
      </c>
      <c r="I13" t="s">
        <v>28</v>
      </c>
      <c r="J13" t="s">
        <v>28</v>
      </c>
      <c r="K13" t="s">
        <v>1064</v>
      </c>
      <c r="V13">
        <v>0</v>
      </c>
    </row>
    <row r="14" spans="2:22" ht="15" hidden="1" customHeight="1" x14ac:dyDescent="0.15">
      <c r="B14" s="1"/>
      <c r="C14" s="1"/>
      <c r="D14" t="str">
        <f>B13&amp;".2"</f>
        <v>.2</v>
      </c>
      <c r="E14" t="s">
        <v>1065</v>
      </c>
      <c r="F14" t="s">
        <v>424</v>
      </c>
      <c r="G14" t="s">
        <v>28</v>
      </c>
      <c r="H14" t="s">
        <v>28</v>
      </c>
      <c r="I14" t="s">
        <v>28</v>
      </c>
      <c r="J14" t="s">
        <v>28</v>
      </c>
      <c r="K14" t="s">
        <v>1066</v>
      </c>
      <c r="V14">
        <v>0</v>
      </c>
    </row>
    <row r="15" spans="2:22" ht="15" hidden="1" customHeight="1" x14ac:dyDescent="0.15">
      <c r="V15">
        <v>0</v>
      </c>
    </row>
    <row r="16" spans="2:22" ht="15" hidden="1" customHeight="1" x14ac:dyDescent="0.15">
      <c r="V16">
        <v>0</v>
      </c>
    </row>
    <row r="17" spans="2:22" ht="15" hidden="1" customHeight="1" x14ac:dyDescent="0.15">
      <c r="V17">
        <v>0</v>
      </c>
    </row>
    <row r="18" spans="2:22" ht="15" hidden="1" customHeight="1" x14ac:dyDescent="0.15">
      <c r="V18">
        <v>0</v>
      </c>
    </row>
    <row r="19" spans="2:22" ht="15" hidden="1" customHeight="1" x14ac:dyDescent="0.15">
      <c r="V19">
        <v>0</v>
      </c>
    </row>
    <row r="20" spans="2:22" ht="15" hidden="1" customHeight="1" x14ac:dyDescent="0.15">
      <c r="V20">
        <v>0</v>
      </c>
    </row>
    <row r="21" spans="2:22" ht="15.75" customHeight="1" x14ac:dyDescent="0.15">
      <c r="V21">
        <v>15</v>
      </c>
    </row>
    <row r="22" spans="2:22" ht="23.25" customHeight="1" x14ac:dyDescent="0.15">
      <c r="D22" s="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
      <c r="F22" s="1"/>
      <c r="G22" s="1"/>
      <c r="H22" s="1"/>
      <c r="I22" s="1"/>
      <c r="V22">
        <v>22</v>
      </c>
    </row>
    <row r="23" spans="2:22" ht="15.75" customHeight="1" x14ac:dyDescent="0.15">
      <c r="D23" s="1" t="str">
        <f>IF(org=0,"Не определено",org)</f>
        <v>КГУП "Примтеплоэнерго"</v>
      </c>
      <c r="E23" s="1"/>
      <c r="F23" s="1"/>
      <c r="G23" s="1"/>
      <c r="H23" s="1"/>
      <c r="I23" s="1"/>
      <c r="V23">
        <v>15</v>
      </c>
    </row>
    <row r="24" spans="2:22" ht="15.75" customHeight="1" x14ac:dyDescent="0.15">
      <c r="G24">
        <v>22</v>
      </c>
      <c r="I24">
        <v>22</v>
      </c>
      <c r="V24">
        <v>15</v>
      </c>
    </row>
    <row r="25" spans="2:22" ht="1.1499999999999999" customHeight="1" x14ac:dyDescent="0.15">
      <c r="I25" t="s">
        <v>173</v>
      </c>
      <c r="V25">
        <v>1</v>
      </c>
    </row>
    <row r="26" spans="2:22" ht="15.75" customHeight="1" x14ac:dyDescent="0.15">
      <c r="E26" s="1" t="s">
        <v>165</v>
      </c>
      <c r="F26" s="1"/>
      <c r="G26" s="1" t="str">
        <f>IF(G25="","",INDEX(DIFFERENTIATION_UNMERGE_VD,MATCH(G25,DIFFERENTIATION_ID_DIFF,0)))</f>
        <v/>
      </c>
      <c r="H26" s="1"/>
      <c r="I26" s="1">
        <f>IF(I25="","",INDEX(DIFFERENTIATION_UNMERGE_VD,MATCH(I25,DIFFERENTIATION_ID_DIFF,0)))</f>
        <v>0</v>
      </c>
      <c r="J26" s="1"/>
      <c r="K26" s="1" t="s">
        <v>419</v>
      </c>
      <c r="V26">
        <v>15</v>
      </c>
    </row>
    <row r="27" spans="2:22" ht="15.75" customHeight="1" x14ac:dyDescent="0.15">
      <c r="E27" s="1" t="s">
        <v>681</v>
      </c>
      <c r="F27" s="1"/>
      <c r="G27" s="1" t="str">
        <f>IF(G25="","",INDEX(DIFFERENTIATION_UNMERGE_AREA,MATCH(G25,DIFFERENTIATION_ID_DIFF,0)))</f>
        <v/>
      </c>
      <c r="H27" s="1"/>
      <c r="I27" s="1" t="str">
        <f>IF(I25="","",INDEX(DIFFERENTIATION_UNMERGE_AREA,MATCH(I25,DIFFERENTIATION_ID_DIFF,0)))</f>
        <v/>
      </c>
      <c r="J27" s="1"/>
      <c r="K27" s="1"/>
      <c r="V27">
        <v>15</v>
      </c>
    </row>
    <row r="28" spans="2:22" ht="15.75" customHeight="1" x14ac:dyDescent="0.15">
      <c r="E28" s="1" t="s">
        <v>682</v>
      </c>
      <c r="F28" s="1"/>
      <c r="G28" s="1" t="str">
        <f>IF(G25="","",INDEX(DIFFERENTIATION_UNMERGE_SYSTEM,MATCH(G25,DIFFERENTIATION_ID_DIFF,0)))</f>
        <v/>
      </c>
      <c r="H28" s="1"/>
      <c r="I28" s="1" t="str">
        <f>IF(I25="","",INDEX(DIFFERENTIATION_UNMERGE_SYSTEM,MATCH(I25,DIFFERENTIATION_ID_DIFF,0)))</f>
        <v>без дифференциации</v>
      </c>
      <c r="J28" s="1"/>
      <c r="K28" s="1"/>
      <c r="V28">
        <v>15</v>
      </c>
    </row>
    <row r="29" spans="2:22" ht="15.75" customHeight="1" x14ac:dyDescent="0.15">
      <c r="D29" s="1" t="s">
        <v>418</v>
      </c>
      <c r="E29" s="1"/>
      <c r="F29" s="1"/>
      <c r="K29" s="1"/>
      <c r="V29">
        <v>15</v>
      </c>
    </row>
    <row r="30" spans="2:22" ht="35.65" customHeight="1" x14ac:dyDescent="0.15">
      <c r="D30" t="s">
        <v>90</v>
      </c>
      <c r="E30" t="s">
        <v>420</v>
      </c>
      <c r="F30" t="s">
        <v>683</v>
      </c>
      <c r="G30" t="s">
        <v>421</v>
      </c>
      <c r="H30" t="s">
        <v>508</v>
      </c>
      <c r="I30" t="s">
        <v>421</v>
      </c>
      <c r="J30" t="s">
        <v>508</v>
      </c>
      <c r="K30" s="1"/>
      <c r="V30">
        <v>34</v>
      </c>
    </row>
    <row r="31" spans="2:22" ht="15" hidden="1" customHeight="1" x14ac:dyDescent="0.15">
      <c r="V31">
        <v>0</v>
      </c>
    </row>
    <row r="32" spans="2:22" ht="24" customHeight="1" x14ac:dyDescent="0.15">
      <c r="B32" t="s">
        <v>1067</v>
      </c>
      <c r="D32">
        <v>1</v>
      </c>
      <c r="E32" t="s">
        <v>1068</v>
      </c>
      <c r="F32" t="s">
        <v>424</v>
      </c>
      <c r="G32" t="s">
        <v>424</v>
      </c>
      <c r="H32" t="s">
        <v>424</v>
      </c>
      <c r="I32" t="s">
        <v>424</v>
      </c>
      <c r="J32" t="s">
        <v>424</v>
      </c>
      <c r="V32">
        <v>23</v>
      </c>
    </row>
    <row r="33" spans="1:22" ht="11.45" customHeight="1" x14ac:dyDescent="0.15">
      <c r="E33" t="s">
        <v>703</v>
      </c>
      <c r="V33">
        <v>11</v>
      </c>
    </row>
    <row r="34" spans="1:22" ht="24" customHeight="1" x14ac:dyDescent="0.15">
      <c r="B34" t="s">
        <v>753</v>
      </c>
      <c r="D34">
        <v>2</v>
      </c>
      <c r="E34" t="s">
        <v>1069</v>
      </c>
      <c r="F34" t="s">
        <v>424</v>
      </c>
      <c r="G34" t="s">
        <v>424</v>
      </c>
      <c r="H34" t="s">
        <v>424</v>
      </c>
      <c r="V34">
        <v>23</v>
      </c>
    </row>
    <row r="35" spans="1:22" ht="11.45" customHeight="1" x14ac:dyDescent="0.15">
      <c r="E35" t="s">
        <v>1070</v>
      </c>
      <c r="V35">
        <v>11</v>
      </c>
    </row>
    <row r="36" spans="1:22" ht="71.25" customHeight="1" x14ac:dyDescent="0.15">
      <c r="B36" t="s">
        <v>1071</v>
      </c>
      <c r="D36">
        <v>3</v>
      </c>
      <c r="E36" t="s">
        <v>1072</v>
      </c>
      <c r="F36" t="s">
        <v>424</v>
      </c>
      <c r="G36" t="s">
        <v>1073</v>
      </c>
      <c r="H36" t="s">
        <v>424</v>
      </c>
      <c r="I36" t="s">
        <v>1073</v>
      </c>
      <c r="J36" t="s">
        <v>424</v>
      </c>
      <c r="K36" t="s">
        <v>1074</v>
      </c>
      <c r="V36">
        <v>68</v>
      </c>
    </row>
    <row r="37" spans="1:22" ht="11.45" customHeight="1" x14ac:dyDescent="0.15">
      <c r="E37" t="s">
        <v>1075</v>
      </c>
      <c r="V37">
        <v>11</v>
      </c>
    </row>
    <row r="38" spans="1:22" ht="71.25" customHeight="1" x14ac:dyDescent="0.15">
      <c r="B38" t="s">
        <v>1076</v>
      </c>
      <c r="D38">
        <v>4</v>
      </c>
      <c r="E38" t="s">
        <v>1077</v>
      </c>
      <c r="F38" t="s">
        <v>424</v>
      </c>
      <c r="G38" t="s">
        <v>1073</v>
      </c>
      <c r="H38" t="s">
        <v>424</v>
      </c>
      <c r="I38" t="s">
        <v>1073</v>
      </c>
      <c r="J38" t="s">
        <v>424</v>
      </c>
      <c r="K38" t="s">
        <v>1078</v>
      </c>
      <c r="V38">
        <v>68</v>
      </c>
    </row>
    <row r="39" spans="1:22" ht="11.45" customHeight="1" x14ac:dyDescent="0.15">
      <c r="E39" t="s">
        <v>1079</v>
      </c>
      <c r="V39">
        <v>11</v>
      </c>
    </row>
    <row r="40" spans="1:22" ht="22.5" hidden="1" customHeight="1" x14ac:dyDescent="0.15">
      <c r="A40" t="s">
        <v>84</v>
      </c>
      <c r="B40">
        <v>0</v>
      </c>
      <c r="C40">
        <v>4</v>
      </c>
      <c r="D40">
        <v>6</v>
      </c>
      <c r="E40">
        <v>36</v>
      </c>
      <c r="F40">
        <v>9</v>
      </c>
      <c r="G40">
        <v>0</v>
      </c>
      <c r="H40">
        <v>0</v>
      </c>
      <c r="I40">
        <v>25</v>
      </c>
      <c r="J40">
        <v>33</v>
      </c>
      <c r="K40">
        <v>93</v>
      </c>
      <c r="L40">
        <v>10</v>
      </c>
      <c r="M40">
        <v>10</v>
      </c>
      <c r="N40">
        <v>10</v>
      </c>
      <c r="O40">
        <v>10</v>
      </c>
      <c r="P40">
        <v>10</v>
      </c>
      <c r="Q40">
        <v>10</v>
      </c>
      <c r="R40">
        <v>10</v>
      </c>
      <c r="S40">
        <v>10</v>
      </c>
      <c r="T40">
        <v>10</v>
      </c>
      <c r="U40">
        <v>10</v>
      </c>
      <c r="V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x14ac:dyDescent="0.15"/>
  <cols>
    <col min="1" max="4" width="6.7109375" hidden="1" customWidth="1"/>
    <col min="5" max="5" width="3" customWidth="1"/>
    <col min="6" max="6" width="6" customWidth="1"/>
    <col min="7" max="7" width="37" customWidth="1"/>
    <col min="8" max="8" width="16" customWidth="1"/>
    <col min="9" max="10" width="19" customWidth="1"/>
    <col min="11" max="11" width="24" customWidth="1"/>
    <col min="12" max="13" width="25" customWidth="1"/>
    <col min="14" max="16" width="17" customWidth="1"/>
    <col min="17" max="24" width="19" customWidth="1"/>
    <col min="25" max="25" width="7" customWidth="1"/>
    <col min="26" max="26" width="3" customWidth="1"/>
    <col min="27" max="27" width="6" customWidth="1"/>
    <col min="28" max="28" width="34" customWidth="1"/>
    <col min="29" max="30" width="8" customWidth="1"/>
    <col min="31" max="31" width="9.140625" hidden="1"/>
  </cols>
  <sheetData>
    <row r="1" spans="1:31" ht="10.5" hidden="1" customHeight="1" x14ac:dyDescent="0.15">
      <c r="AE1" t="s">
        <v>14</v>
      </c>
    </row>
    <row r="2" spans="1:31" ht="10.5" hidden="1" customHeight="1" x14ac:dyDescent="0.15">
      <c r="AE2">
        <v>0</v>
      </c>
    </row>
    <row r="3" spans="1:31" ht="10.5" hidden="1" customHeight="1" x14ac:dyDescent="0.15">
      <c r="G3" t="s">
        <v>1080</v>
      </c>
      <c r="AE3">
        <v>0</v>
      </c>
    </row>
    <row r="4" spans="1:31" ht="3" customHeight="1" x14ac:dyDescent="0.15">
      <c r="AE4">
        <v>3</v>
      </c>
    </row>
    <row r="5" spans="1:31" ht="27.4" customHeight="1" x14ac:dyDescent="0.15">
      <c r="F5" s="1" t="str">
        <f>IP_NAME_FORM</f>
        <v>Форма 7. Информация об инвестиционных программах организации водоотведения и отчетах об их исполнении</v>
      </c>
      <c r="G5" s="1"/>
      <c r="H5" s="1"/>
      <c r="I5" s="1"/>
      <c r="J5" s="1"/>
      <c r="K5" s="1"/>
      <c r="AE5">
        <v>26</v>
      </c>
    </row>
    <row r="6" spans="1:31" ht="16.899999999999999" customHeight="1" x14ac:dyDescent="0.15">
      <c r="F6" s="1" t="str">
        <f>IF(org=0,"Не определено",org)</f>
        <v>КГУП "Примтеплоэнерго"</v>
      </c>
      <c r="G6" s="1"/>
      <c r="H6" s="1"/>
      <c r="I6" s="1"/>
      <c r="J6" s="1"/>
      <c r="K6" s="1"/>
      <c r="AE6">
        <v>16</v>
      </c>
    </row>
    <row r="7" spans="1:31" ht="10.5" customHeight="1" x14ac:dyDescent="0.15">
      <c r="AE7">
        <v>10</v>
      </c>
    </row>
    <row r="8" spans="1:31" ht="10.5" customHeight="1" x14ac:dyDescent="0.15">
      <c r="F8" s="1" t="s">
        <v>418</v>
      </c>
      <c r="G8" s="1"/>
      <c r="H8" s="1"/>
      <c r="I8" s="1"/>
      <c r="J8" s="1"/>
      <c r="K8" s="1"/>
      <c r="L8" s="1"/>
      <c r="M8" s="1"/>
      <c r="N8" s="1"/>
      <c r="O8" s="1"/>
      <c r="P8" s="1"/>
      <c r="Q8" s="1"/>
      <c r="R8" s="1"/>
      <c r="S8" s="1"/>
      <c r="T8" s="1"/>
      <c r="U8" s="1"/>
      <c r="V8" s="1"/>
      <c r="W8" s="1"/>
      <c r="X8" s="1"/>
      <c r="Y8" s="1"/>
      <c r="Z8" s="1"/>
      <c r="AA8" s="1"/>
      <c r="AB8" s="1"/>
      <c r="AE8">
        <v>10</v>
      </c>
    </row>
    <row r="9" spans="1:31" ht="43.15" customHeight="1" x14ac:dyDescent="0.15">
      <c r="F9" s="1" t="s">
        <v>90</v>
      </c>
      <c r="G9" s="1" t="s">
        <v>1080</v>
      </c>
      <c r="H9" s="1" t="s">
        <v>1081</v>
      </c>
      <c r="I9" s="1" t="s">
        <v>1082</v>
      </c>
      <c r="J9" s="1" t="s">
        <v>1083</v>
      </c>
      <c r="K9" s="1" t="s">
        <v>1084</v>
      </c>
      <c r="L9" s="1" t="s">
        <v>1085</v>
      </c>
      <c r="M9" s="1" t="s">
        <v>1086</v>
      </c>
      <c r="N9" s="1" t="s">
        <v>1087</v>
      </c>
      <c r="O9" s="1"/>
      <c r="P9" s="1"/>
      <c r="Q9" s="1" t="s">
        <v>1088</v>
      </c>
      <c r="R9" s="1"/>
      <c r="S9" s="1"/>
      <c r="T9" s="1"/>
      <c r="U9" s="1" t="s">
        <v>1089</v>
      </c>
      <c r="V9" s="1"/>
      <c r="W9" s="1"/>
      <c r="X9" s="1"/>
      <c r="Y9" s="1" t="s">
        <v>1090</v>
      </c>
      <c r="Z9" s="1"/>
      <c r="AA9" s="1"/>
      <c r="AB9" s="1"/>
      <c r="AE9">
        <v>41</v>
      </c>
    </row>
    <row r="10" spans="1:31" ht="43.15" customHeight="1" x14ac:dyDescent="0.15">
      <c r="F10" s="1"/>
      <c r="G10" s="1"/>
      <c r="H10" s="1"/>
      <c r="I10" s="1"/>
      <c r="J10" s="1"/>
      <c r="K10" s="1"/>
      <c r="L10" s="1"/>
      <c r="M10" s="1"/>
      <c r="N10" t="s">
        <v>1091</v>
      </c>
      <c r="O10" t="s">
        <v>1092</v>
      </c>
      <c r="P10" t="s">
        <v>1093</v>
      </c>
      <c r="Q10" t="s">
        <v>91</v>
      </c>
      <c r="R10" t="s">
        <v>1094</v>
      </c>
      <c r="S10" t="s">
        <v>1095</v>
      </c>
      <c r="T10" t="s">
        <v>1096</v>
      </c>
      <c r="U10" t="s">
        <v>91</v>
      </c>
      <c r="V10" t="s">
        <v>1097</v>
      </c>
      <c r="W10" t="s">
        <v>1095</v>
      </c>
      <c r="X10" t="s">
        <v>1096</v>
      </c>
      <c r="Y10" t="s">
        <v>1098</v>
      </c>
      <c r="Z10" s="1" t="s">
        <v>90</v>
      </c>
      <c r="AA10" s="1"/>
      <c r="AB10" t="s">
        <v>1099</v>
      </c>
      <c r="AE10">
        <v>41</v>
      </c>
    </row>
    <row r="11" spans="1:31" ht="5.25" hidden="1" customHeight="1" x14ac:dyDescent="0.15">
      <c r="F11" s="1" t="s">
        <v>494</v>
      </c>
      <c r="G11" s="1"/>
      <c r="H11" s="1"/>
      <c r="I11" s="1"/>
      <c r="J11" s="1"/>
      <c r="K11" s="1"/>
      <c r="L11" s="1"/>
      <c r="M11" s="1"/>
      <c r="N11" s="1"/>
      <c r="O11" s="1"/>
      <c r="P11" s="1"/>
      <c r="Q11" s="1"/>
      <c r="R11" s="1"/>
      <c r="S11" s="1"/>
      <c r="T11" s="1"/>
      <c r="U11" s="1"/>
      <c r="V11" s="1"/>
      <c r="W11" s="1"/>
      <c r="X11" s="1"/>
      <c r="Y11" s="1"/>
      <c r="Z11" s="1"/>
      <c r="AA11" s="1"/>
      <c r="AB11" s="1"/>
      <c r="AD11" t="s">
        <v>1100</v>
      </c>
      <c r="AE11">
        <v>0</v>
      </c>
    </row>
    <row r="12" spans="1:31" ht="5.25" hidden="1" customHeight="1" x14ac:dyDescent="0.15">
      <c r="F12" s="1"/>
      <c r="G12" s="1"/>
      <c r="H12" s="1"/>
      <c r="I12" s="1"/>
      <c r="J12" s="1"/>
      <c r="K12" s="1"/>
      <c r="L12" s="1"/>
      <c r="M12" s="1"/>
      <c r="N12" s="1"/>
      <c r="O12" s="1"/>
      <c r="P12" s="1"/>
      <c r="Q12" s="1"/>
      <c r="R12" s="1"/>
      <c r="S12" s="1"/>
      <c r="T12" s="1"/>
      <c r="U12" s="1"/>
      <c r="V12" s="1"/>
      <c r="W12" s="1"/>
      <c r="X12" s="1"/>
      <c r="Y12" s="1"/>
      <c r="Z12" s="1"/>
      <c r="AA12" s="1"/>
      <c r="AB12" s="1"/>
      <c r="AE12">
        <v>0</v>
      </c>
    </row>
    <row r="13" spans="1:31" ht="10.5" customHeight="1" x14ac:dyDescent="0.15">
      <c r="G13" t="s">
        <v>1101</v>
      </c>
      <c r="AE13">
        <v>10</v>
      </c>
    </row>
    <row r="14" spans="1:31" ht="10.5" customHeight="1" x14ac:dyDescent="0.15">
      <c r="AE14">
        <v>10</v>
      </c>
    </row>
    <row r="15" spans="1:31" ht="10.5" customHeight="1" x14ac:dyDescent="0.15">
      <c r="H15">
        <f>IFERROR(MATCH("нет",IP_MAIN_DIFFERENTIATION_EVENTS_FLAG,0),0)</f>
        <v>0</v>
      </c>
      <c r="AE15">
        <v>10</v>
      </c>
    </row>
    <row r="16" spans="1:31" ht="10.5" hidden="1" customHeight="1" x14ac:dyDescent="0.15">
      <c r="A16" t="s">
        <v>84</v>
      </c>
      <c r="B16">
        <v>0</v>
      </c>
      <c r="C16">
        <v>0</v>
      </c>
      <c r="D16">
        <v>0</v>
      </c>
      <c r="E16">
        <v>3</v>
      </c>
      <c r="F16">
        <v>6</v>
      </c>
      <c r="G16">
        <v>37</v>
      </c>
      <c r="H16">
        <v>16</v>
      </c>
      <c r="I16">
        <v>19</v>
      </c>
      <c r="J16">
        <v>19</v>
      </c>
      <c r="K16">
        <v>24</v>
      </c>
      <c r="L16">
        <v>25</v>
      </c>
      <c r="M16">
        <v>25</v>
      </c>
      <c r="N16">
        <v>17</v>
      </c>
      <c r="O16">
        <v>17</v>
      </c>
      <c r="P16">
        <v>17</v>
      </c>
      <c r="Q16">
        <v>19</v>
      </c>
      <c r="R16">
        <v>19</v>
      </c>
      <c r="S16">
        <v>19</v>
      </c>
      <c r="T16">
        <v>19</v>
      </c>
      <c r="U16">
        <v>19</v>
      </c>
      <c r="V16">
        <v>19</v>
      </c>
      <c r="W16">
        <v>19</v>
      </c>
      <c r="X16">
        <v>19</v>
      </c>
      <c r="Y16">
        <v>7</v>
      </c>
      <c r="Z16">
        <v>3</v>
      </c>
      <c r="AA16">
        <v>6</v>
      </c>
      <c r="AB16">
        <v>34</v>
      </c>
      <c r="AC16">
        <v>8</v>
      </c>
      <c r="AD16">
        <v>8</v>
      </c>
      <c r="AE16">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x14ac:dyDescent="0.15"/>
  <cols>
    <col min="1" max="4" width="4.140625" hidden="1" customWidth="1"/>
    <col min="5" max="5" width="3" customWidth="1"/>
    <col min="6" max="6" width="14" customWidth="1"/>
    <col min="7" max="7" width="3" customWidth="1"/>
    <col min="8" max="8" width="7" customWidth="1"/>
    <col min="9" max="10" width="16" customWidth="1"/>
    <col min="11" max="11" width="25" customWidth="1"/>
    <col min="12" max="12" width="7" customWidth="1"/>
    <col min="13" max="13" width="15" customWidth="1"/>
    <col min="14" max="14" width="3" customWidth="1"/>
    <col min="15" max="15" width="4" customWidth="1"/>
    <col min="16" max="16" width="8" customWidth="1"/>
    <col min="17" max="17" width="21" customWidth="1"/>
    <col min="18" max="18" width="14" customWidth="1"/>
    <col min="19" max="20" width="17" customWidth="1"/>
    <col min="21" max="21" width="9" customWidth="1"/>
    <col min="22" max="22" width="12" customWidth="1"/>
    <col min="23" max="23" width="9" customWidth="1"/>
    <col min="24" max="24" width="21" customWidth="1"/>
    <col min="25" max="25" width="12" customWidth="1"/>
    <col min="26" max="26" width="3" customWidth="1"/>
    <col min="27" max="27" width="6" customWidth="1"/>
    <col min="28" max="28" width="38" customWidth="1"/>
    <col min="29" max="29" width="15" customWidth="1"/>
    <col min="30" max="30" width="37.5703125" hidden="1" customWidth="1"/>
    <col min="31" max="31" width="15.7109375" hidden="1" customWidth="1"/>
    <col min="32" max="34" width="16" customWidth="1"/>
    <col min="35" max="37" width="16.7109375" hidden="1" customWidth="1"/>
    <col min="38" max="58" width="8" customWidth="1"/>
    <col min="59" max="59" width="9.140625" hidden="1"/>
  </cols>
  <sheetData>
    <row r="1" spans="6:59" ht="10.5" hidden="1" customHeight="1" x14ac:dyDescent="0.15">
      <c r="BG1" t="s">
        <v>14</v>
      </c>
    </row>
    <row r="2" spans="6:59" ht="10.5" hidden="1" customHeight="1" x14ac:dyDescent="0.15">
      <c r="BG2">
        <v>0</v>
      </c>
    </row>
    <row r="3" spans="6:59" ht="10.5" hidden="1" customHeight="1" x14ac:dyDescent="0.15">
      <c r="BG3">
        <v>0</v>
      </c>
    </row>
    <row r="4" spans="6:59" ht="3" customHeight="1" x14ac:dyDescent="0.15">
      <c r="BG4">
        <v>3</v>
      </c>
    </row>
    <row r="5" spans="6:59" ht="27.4" customHeight="1" x14ac:dyDescent="0.15">
      <c r="F5" s="1" t="str">
        <f>IP_NAME_FORM</f>
        <v>Форма 7. Информация об инвестиционных программах организации водоотведения и отчетах об их исполнении</v>
      </c>
      <c r="G5" s="1"/>
      <c r="H5" s="1"/>
      <c r="I5" s="1"/>
      <c r="J5" s="1"/>
      <c r="K5" s="1"/>
      <c r="BG5">
        <v>26</v>
      </c>
    </row>
    <row r="6" spans="6:59" ht="10.5" customHeight="1" x14ac:dyDescent="0.15">
      <c r="F6" s="1" t="str">
        <f>IF(org=0,"Не определено",org)</f>
        <v>КГУП "Примтеплоэнерго"</v>
      </c>
      <c r="G6" s="1"/>
      <c r="H6" s="1"/>
      <c r="I6" s="1"/>
      <c r="J6" s="1"/>
      <c r="K6" s="1"/>
      <c r="BG6">
        <v>10</v>
      </c>
    </row>
    <row r="7" spans="6:59" ht="11.45" customHeight="1" x14ac:dyDescent="0.15">
      <c r="BG7">
        <v>11</v>
      </c>
    </row>
    <row r="8" spans="6:59" ht="10.5" customHeight="1" x14ac:dyDescent="0.15">
      <c r="F8" s="1" t="s">
        <v>418</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BG8">
        <v>10</v>
      </c>
    </row>
    <row r="9" spans="6:59" ht="24" customHeight="1" x14ac:dyDescent="0.15">
      <c r="F9" s="1" t="s">
        <v>1102</v>
      </c>
      <c r="G9" s="1" t="s">
        <v>1103</v>
      </c>
      <c r="H9" s="1"/>
      <c r="I9" s="1" t="s">
        <v>1104</v>
      </c>
      <c r="J9" s="1"/>
      <c r="K9" s="1" t="s">
        <v>1105</v>
      </c>
      <c r="L9" s="1"/>
      <c r="M9" s="1"/>
      <c r="N9" s="1"/>
      <c r="O9" s="1"/>
      <c r="P9" s="1"/>
      <c r="Q9" s="1"/>
      <c r="R9" s="1"/>
      <c r="S9" s="1"/>
      <c r="T9" s="1"/>
      <c r="U9" s="1"/>
      <c r="V9" s="1"/>
      <c r="W9" s="1"/>
      <c r="X9" s="1"/>
      <c r="Y9" s="1"/>
      <c r="Z9" s="1" t="s">
        <v>1106</v>
      </c>
      <c r="AA9" s="1"/>
      <c r="AB9" s="1" t="s">
        <v>1107</v>
      </c>
      <c r="AC9" s="1"/>
      <c r="AD9" s="1"/>
      <c r="AE9" s="1"/>
      <c r="AF9" s="1" t="s">
        <v>1108</v>
      </c>
      <c r="AG9" s="1" t="s">
        <v>1109</v>
      </c>
      <c r="AH9" s="1"/>
      <c r="AI9" s="1" t="s">
        <v>1110</v>
      </c>
      <c r="AJ9" s="1" t="s">
        <v>1111</v>
      </c>
      <c r="AK9" s="1"/>
      <c r="BG9">
        <v>23</v>
      </c>
    </row>
    <row r="10" spans="6:59" ht="25.15" customHeight="1" x14ac:dyDescent="0.15">
      <c r="F10" s="1"/>
      <c r="G10" s="1"/>
      <c r="H10" s="1"/>
      <c r="I10" s="1"/>
      <c r="J10" s="1"/>
      <c r="K10" s="1" t="s">
        <v>1112</v>
      </c>
      <c r="L10" s="1" t="s">
        <v>1113</v>
      </c>
      <c r="M10" s="1"/>
      <c r="N10" s="1" t="s">
        <v>1114</v>
      </c>
      <c r="O10" s="1"/>
      <c r="P10" s="1"/>
      <c r="Q10" s="1"/>
      <c r="R10" s="1"/>
      <c r="S10" s="1"/>
      <c r="T10" s="1"/>
      <c r="U10" s="1"/>
      <c r="V10" s="1"/>
      <c r="W10" s="1"/>
      <c r="X10" s="1"/>
      <c r="Y10" s="1"/>
      <c r="Z10" s="1"/>
      <c r="AA10" s="1"/>
      <c r="AB10" s="1"/>
      <c r="AC10" s="1"/>
      <c r="AD10" s="1"/>
      <c r="AE10" s="1"/>
      <c r="AF10" s="1"/>
      <c r="AG10" s="1"/>
      <c r="AH10" s="1"/>
      <c r="AI10" s="1"/>
      <c r="AJ10" s="1"/>
      <c r="AK10" s="1"/>
      <c r="BG10">
        <v>24</v>
      </c>
    </row>
    <row r="11" spans="6:59" ht="25.15" customHeight="1" x14ac:dyDescent="0.15">
      <c r="F11" s="1"/>
      <c r="G11" s="1"/>
      <c r="H11" s="1"/>
      <c r="I11" s="1"/>
      <c r="J11" s="1"/>
      <c r="K11" s="1"/>
      <c r="L11" s="1" t="s">
        <v>1115</v>
      </c>
      <c r="M11" s="1" t="s">
        <v>1116</v>
      </c>
      <c r="N11" s="1" t="s">
        <v>1117</v>
      </c>
      <c r="O11" s="1"/>
      <c r="P11" s="1" t="s">
        <v>1098</v>
      </c>
      <c r="Q11" s="1" t="s">
        <v>1118</v>
      </c>
      <c r="R11" s="1" t="s">
        <v>1119</v>
      </c>
      <c r="S11" s="1" t="s">
        <v>1120</v>
      </c>
      <c r="T11" s="1"/>
      <c r="U11" s="1"/>
      <c r="V11" s="1"/>
      <c r="W11" s="1"/>
      <c r="X11" s="1"/>
      <c r="Y11" s="1"/>
      <c r="Z11" s="1"/>
      <c r="AA11" s="1"/>
      <c r="AB11" s="1" t="s">
        <v>1121</v>
      </c>
      <c r="AC11" s="1"/>
      <c r="AD11" s="1" t="s">
        <v>1122</v>
      </c>
      <c r="AE11" s="1"/>
      <c r="AF11" s="1"/>
      <c r="AG11" s="1"/>
      <c r="AH11" s="1"/>
      <c r="AI11" s="1"/>
      <c r="AJ11" s="1"/>
      <c r="AK11" s="1"/>
      <c r="BG11">
        <v>24</v>
      </c>
    </row>
    <row r="12" spans="6:59" ht="35.65" customHeight="1" x14ac:dyDescent="0.15">
      <c r="F12" s="1"/>
      <c r="G12" s="1"/>
      <c r="H12" s="1"/>
      <c r="I12" t="s">
        <v>91</v>
      </c>
      <c r="J12" t="s">
        <v>1123</v>
      </c>
      <c r="K12" s="1"/>
      <c r="L12" s="1"/>
      <c r="M12" s="1"/>
      <c r="N12" s="1"/>
      <c r="O12" s="1"/>
      <c r="P12" s="1"/>
      <c r="Q12" s="1"/>
      <c r="R12" s="1"/>
      <c r="S12" t="s">
        <v>88</v>
      </c>
      <c r="T12" t="s">
        <v>89</v>
      </c>
      <c r="U12" t="s">
        <v>87</v>
      </c>
      <c r="V12" t="s">
        <v>1124</v>
      </c>
      <c r="W12" t="s">
        <v>87</v>
      </c>
      <c r="X12" t="s">
        <v>1125</v>
      </c>
      <c r="Y12" t="s">
        <v>1126</v>
      </c>
      <c r="Z12" s="1"/>
      <c r="AA12" s="1"/>
      <c r="AB12" t="s">
        <v>1127</v>
      </c>
      <c r="AC12" t="s">
        <v>1128</v>
      </c>
      <c r="AD12" t="s">
        <v>1127</v>
      </c>
      <c r="AE12" t="s">
        <v>1128</v>
      </c>
      <c r="AF12" s="1"/>
      <c r="AG12" t="s">
        <v>1129</v>
      </c>
      <c r="AH12" t="s">
        <v>1130</v>
      </c>
      <c r="AI12" s="1"/>
      <c r="AJ12" t="s">
        <v>1129</v>
      </c>
      <c r="AK12" t="s">
        <v>1130</v>
      </c>
      <c r="BG12">
        <v>34</v>
      </c>
    </row>
    <row r="13" spans="6:59" ht="1.1499999999999999" customHeight="1" x14ac:dyDescent="0.15">
      <c r="F13">
        <v>0</v>
      </c>
      <c r="BG13">
        <v>1</v>
      </c>
    </row>
    <row r="14" spans="6:59" ht="10.5" customHeight="1" x14ac:dyDescent="0.15">
      <c r="BG14">
        <v>10</v>
      </c>
    </row>
    <row r="15" spans="6:59" ht="13.5" customHeight="1" x14ac:dyDescent="0.15">
      <c r="F15" t="s">
        <v>1131</v>
      </c>
      <c r="BG15">
        <v>13</v>
      </c>
    </row>
    <row r="16" spans="6:59" ht="10.5" customHeight="1" x14ac:dyDescent="0.15">
      <c r="BG16">
        <v>10</v>
      </c>
    </row>
    <row r="17" spans="1:59" ht="10.5" customHeight="1" x14ac:dyDescent="0.15">
      <c r="F17" s="1"/>
      <c r="G17" s="1"/>
      <c r="H17" s="1"/>
      <c r="I17" s="1"/>
      <c r="J17" s="1"/>
      <c r="BG17">
        <v>10</v>
      </c>
    </row>
    <row r="18" spans="1:59" ht="10.5" customHeight="1" x14ac:dyDescent="0.15">
      <c r="F18" s="1"/>
      <c r="G18" s="1"/>
      <c r="H18" s="1"/>
      <c r="I18" s="1"/>
      <c r="J18" s="1"/>
      <c r="BG18">
        <v>10</v>
      </c>
    </row>
    <row r="19" spans="1:59" ht="10.5" customHeight="1" x14ac:dyDescent="0.15">
      <c r="F19" s="1"/>
      <c r="G19" s="1"/>
      <c r="H19" s="1"/>
      <c r="I19" s="1"/>
      <c r="J19" s="1"/>
      <c r="BG19">
        <v>10</v>
      </c>
    </row>
    <row r="20" spans="1:59" ht="10.5" hidden="1" customHeight="1" x14ac:dyDescent="0.15">
      <c r="A20" t="s">
        <v>84</v>
      </c>
      <c r="B20">
        <v>0</v>
      </c>
      <c r="C20">
        <v>0</v>
      </c>
      <c r="D20">
        <v>0</v>
      </c>
      <c r="E20">
        <v>3</v>
      </c>
      <c r="F20">
        <v>14</v>
      </c>
      <c r="G20">
        <v>3</v>
      </c>
      <c r="H20">
        <v>7</v>
      </c>
      <c r="I20">
        <v>16</v>
      </c>
      <c r="J20">
        <v>16</v>
      </c>
      <c r="K20">
        <v>25</v>
      </c>
      <c r="L20">
        <v>7</v>
      </c>
      <c r="M20">
        <v>15</v>
      </c>
      <c r="N20">
        <v>3</v>
      </c>
      <c r="O20">
        <v>4</v>
      </c>
      <c r="P20">
        <v>8</v>
      </c>
      <c r="Q20">
        <v>21</v>
      </c>
      <c r="R20">
        <v>14</v>
      </c>
      <c r="S20">
        <v>17</v>
      </c>
      <c r="T20">
        <v>17</v>
      </c>
      <c r="U20">
        <v>9</v>
      </c>
      <c r="V20">
        <v>12</v>
      </c>
      <c r="W20">
        <v>9</v>
      </c>
      <c r="X20">
        <v>21</v>
      </c>
      <c r="Y20">
        <v>12</v>
      </c>
      <c r="Z20">
        <v>3</v>
      </c>
      <c r="AA20">
        <v>6</v>
      </c>
      <c r="AB20">
        <v>38</v>
      </c>
      <c r="AC20">
        <v>15</v>
      </c>
      <c r="AD20">
        <v>0</v>
      </c>
      <c r="AE20">
        <v>0</v>
      </c>
      <c r="AF20">
        <v>16</v>
      </c>
      <c r="AG20">
        <v>16</v>
      </c>
      <c r="AH20">
        <v>16</v>
      </c>
      <c r="AI20">
        <v>0</v>
      </c>
      <c r="AJ20">
        <v>0</v>
      </c>
      <c r="AK20">
        <v>0</v>
      </c>
      <c r="AL20">
        <v>8</v>
      </c>
      <c r="AM20">
        <v>8</v>
      </c>
      <c r="AN20">
        <v>8</v>
      </c>
      <c r="AO20">
        <v>8</v>
      </c>
      <c r="AP20">
        <v>8</v>
      </c>
      <c r="AQ20">
        <v>8</v>
      </c>
      <c r="AR20">
        <v>8</v>
      </c>
      <c r="AS20">
        <v>8</v>
      </c>
      <c r="AT20">
        <v>8</v>
      </c>
      <c r="AU20">
        <v>8</v>
      </c>
      <c r="AV20">
        <v>8</v>
      </c>
      <c r="AW20">
        <v>8</v>
      </c>
      <c r="AX20">
        <v>8</v>
      </c>
      <c r="AY20">
        <v>8</v>
      </c>
      <c r="AZ20">
        <v>8</v>
      </c>
      <c r="BA20">
        <v>8</v>
      </c>
      <c r="BB20">
        <v>8</v>
      </c>
      <c r="BC20">
        <v>8</v>
      </c>
      <c r="BD20">
        <v>8</v>
      </c>
      <c r="BE20">
        <v>8</v>
      </c>
      <c r="BF20">
        <v>8</v>
      </c>
      <c r="BG2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x14ac:dyDescent="0.15"/>
  <cols>
    <col min="1" max="4" width="4.140625" hidden="1" customWidth="1"/>
    <col min="5" max="5" width="3" customWidth="1"/>
    <col min="6" max="6" width="6" customWidth="1"/>
    <col min="7" max="7" width="60" customWidth="1"/>
    <col min="8" max="9" width="21.7109375" hidden="1" customWidth="1"/>
    <col min="10" max="10" width="0.140625" customWidth="1"/>
    <col min="11" max="11" width="1" customWidth="1"/>
    <col min="12" max="22" width="8" customWidth="1"/>
    <col min="23" max="23" width="9.140625" hidden="1"/>
  </cols>
  <sheetData>
    <row r="1" spans="6:23" ht="10.5" hidden="1" customHeight="1" x14ac:dyDescent="0.15">
      <c r="W1" t="s">
        <v>14</v>
      </c>
    </row>
    <row r="2" spans="6:23" ht="10.5" hidden="1" customHeight="1" x14ac:dyDescent="0.15">
      <c r="W2">
        <v>0</v>
      </c>
    </row>
    <row r="3" spans="6:23" ht="10.5" hidden="1" customHeight="1" x14ac:dyDescent="0.15">
      <c r="W3">
        <v>0</v>
      </c>
    </row>
    <row r="4" spans="6:23" ht="3" customHeight="1" x14ac:dyDescent="0.15">
      <c r="W4">
        <v>3</v>
      </c>
    </row>
    <row r="5" spans="6:23" ht="27.4" customHeight="1" x14ac:dyDescent="0.15">
      <c r="F5" s="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
      <c r="H5" s="1"/>
      <c r="I5" s="1"/>
      <c r="J5" s="1"/>
      <c r="W5">
        <v>26</v>
      </c>
    </row>
    <row r="6" spans="6:23" ht="10.5" customHeight="1" x14ac:dyDescent="0.15">
      <c r="F6" s="1" t="str">
        <f>IF(org=0,"Не определено",org)</f>
        <v>КГУП "Примтеплоэнерго"</v>
      </c>
      <c r="G6" s="1"/>
      <c r="H6" s="1"/>
      <c r="I6" s="1"/>
      <c r="J6" s="1"/>
      <c r="W6">
        <v>10</v>
      </c>
    </row>
    <row r="7" spans="6:23" ht="11.45" customHeight="1" x14ac:dyDescent="0.15">
      <c r="W7">
        <v>11</v>
      </c>
    </row>
    <row r="8" spans="6:23" ht="4.1500000000000004" customHeight="1" x14ac:dyDescent="0.15">
      <c r="W8">
        <v>4</v>
      </c>
    </row>
    <row r="9" spans="6:23" ht="10.5" customHeight="1" x14ac:dyDescent="0.15">
      <c r="F9" s="1" t="s">
        <v>418</v>
      </c>
      <c r="G9" s="1"/>
      <c r="H9" s="1"/>
      <c r="I9" s="1"/>
      <c r="J9" s="1"/>
      <c r="W9">
        <v>10</v>
      </c>
    </row>
    <row r="10" spans="6:23" ht="25.15" customHeight="1" x14ac:dyDescent="0.15">
      <c r="F10" s="1" t="s">
        <v>90</v>
      </c>
      <c r="G10" s="1" t="s">
        <v>1132</v>
      </c>
      <c r="H10" s="1" t="s">
        <v>1133</v>
      </c>
      <c r="I10" s="1"/>
      <c r="J10" s="1"/>
      <c r="W10">
        <v>24</v>
      </c>
    </row>
    <row r="11" spans="6:23" ht="25.5" customHeight="1" x14ac:dyDescent="0.15">
      <c r="F11" s="1"/>
      <c r="G11" s="1"/>
      <c r="H11" s="1" t="e">
        <f>INDEX(IP_MAIN_LIST_NAME_IP,MATCH(H8,IP_MAIN_LIST_IP_ID,0))&amp;" ("&amp;INDEX(IP_MAIN_START_DATE,MATCH(H8,IP_MAIN_LIST_IP_ID,0))&amp;"-"&amp;INDEX(IP_MAIN_END_DATE,MATCH(H8,IP_MAIN_LIST_IP_ID,0))&amp;")"</f>
        <v>#N/A</v>
      </c>
      <c r="I11" s="1"/>
      <c r="J11" s="1"/>
      <c r="W11">
        <v>24</v>
      </c>
    </row>
    <row r="12" spans="6:23" ht="10.5" customHeight="1" x14ac:dyDescent="0.15">
      <c r="F12" s="1"/>
      <c r="G12" s="1"/>
      <c r="H12" t="s">
        <v>1134</v>
      </c>
      <c r="W12">
        <v>10</v>
      </c>
    </row>
    <row r="13" spans="6:23" ht="10.5" hidden="1" customHeight="1" x14ac:dyDescent="0.15">
      <c r="F13">
        <v>1</v>
      </c>
      <c r="G13">
        <v>2</v>
      </c>
      <c r="H13">
        <v>3</v>
      </c>
      <c r="I13">
        <v>4</v>
      </c>
      <c r="J13">
        <v>5</v>
      </c>
      <c r="W13">
        <v>0</v>
      </c>
    </row>
    <row r="14" spans="6:23" ht="11.45" customHeight="1" x14ac:dyDescent="0.15">
      <c r="F14" t="s">
        <v>1135</v>
      </c>
      <c r="G14" s="1" t="s">
        <v>1136</v>
      </c>
      <c r="H14" s="1"/>
      <c r="I14" s="1"/>
      <c r="J14" s="1"/>
      <c r="W14">
        <v>11</v>
      </c>
    </row>
    <row r="15" spans="6:23" ht="11.45" customHeight="1" x14ac:dyDescent="0.15">
      <c r="F15">
        <v>1</v>
      </c>
      <c r="G15" t="s">
        <v>1137</v>
      </c>
      <c r="H15">
        <f t="shared" ref="H15:H36" si="0">SUM(I15:J15)</f>
        <v>0</v>
      </c>
      <c r="I15">
        <f>SUM(I16:I27)</f>
        <v>0</v>
      </c>
      <c r="W15">
        <v>11</v>
      </c>
    </row>
    <row r="16" spans="6:23" ht="24" customHeight="1" x14ac:dyDescent="0.15">
      <c r="F16" t="s">
        <v>1138</v>
      </c>
      <c r="G16" t="s">
        <v>1139</v>
      </c>
      <c r="H16">
        <f t="shared" si="0"/>
        <v>0</v>
      </c>
      <c r="W16">
        <v>23</v>
      </c>
    </row>
    <row r="17" spans="6:23" ht="24" customHeight="1" x14ac:dyDescent="0.15">
      <c r="F17" t="s">
        <v>1140</v>
      </c>
      <c r="G17" t="s">
        <v>1141</v>
      </c>
      <c r="H17">
        <f t="shared" si="0"/>
        <v>0</v>
      </c>
      <c r="W17">
        <v>23</v>
      </c>
    </row>
    <row r="18" spans="6:23" ht="35.65" customHeight="1" x14ac:dyDescent="0.15">
      <c r="F18" t="s">
        <v>1142</v>
      </c>
      <c r="G18" t="s">
        <v>1143</v>
      </c>
      <c r="H18">
        <f t="shared" si="0"/>
        <v>0</v>
      </c>
      <c r="W18">
        <v>34</v>
      </c>
    </row>
    <row r="19" spans="6:23" ht="35.65" customHeight="1" x14ac:dyDescent="0.15">
      <c r="F19" t="s">
        <v>1144</v>
      </c>
      <c r="G19" t="s">
        <v>1145</v>
      </c>
      <c r="H19">
        <f t="shared" si="0"/>
        <v>0</v>
      </c>
      <c r="W19">
        <v>34</v>
      </c>
    </row>
    <row r="20" spans="6:23" ht="48.2" customHeight="1" x14ac:dyDescent="0.15">
      <c r="F20" t="s">
        <v>1146</v>
      </c>
      <c r="G20" t="s">
        <v>1147</v>
      </c>
      <c r="H20">
        <f t="shared" si="0"/>
        <v>0</v>
      </c>
      <c r="W20">
        <v>46</v>
      </c>
    </row>
    <row r="21" spans="6:23" ht="35.65" customHeight="1" x14ac:dyDescent="0.15">
      <c r="F21" t="s">
        <v>1148</v>
      </c>
      <c r="G21" t="s">
        <v>1149</v>
      </c>
      <c r="H21">
        <f t="shared" si="0"/>
        <v>0</v>
      </c>
      <c r="W21">
        <v>34</v>
      </c>
    </row>
    <row r="22" spans="6:23" ht="35.65" customHeight="1" x14ac:dyDescent="0.15">
      <c r="F22" t="s">
        <v>1150</v>
      </c>
      <c r="G22" t="s">
        <v>1151</v>
      </c>
      <c r="H22">
        <f t="shared" si="0"/>
        <v>0</v>
      </c>
      <c r="W22">
        <v>34</v>
      </c>
    </row>
    <row r="23" spans="6:23" ht="24" customHeight="1" x14ac:dyDescent="0.15">
      <c r="F23" t="s">
        <v>1152</v>
      </c>
      <c r="G23" t="s">
        <v>1153</v>
      </c>
      <c r="H23">
        <f t="shared" si="0"/>
        <v>0</v>
      </c>
      <c r="W23">
        <v>23</v>
      </c>
    </row>
    <row r="24" spans="6:23" ht="24" customHeight="1" x14ac:dyDescent="0.15">
      <c r="F24" t="s">
        <v>1154</v>
      </c>
      <c r="G24" t="s">
        <v>1155</v>
      </c>
      <c r="H24">
        <f t="shared" si="0"/>
        <v>0</v>
      </c>
      <c r="W24">
        <v>23</v>
      </c>
    </row>
    <row r="25" spans="6:23" ht="35.65" customHeight="1" x14ac:dyDescent="0.15">
      <c r="F25" t="s">
        <v>1156</v>
      </c>
      <c r="G25" t="s">
        <v>1157</v>
      </c>
      <c r="H25">
        <f t="shared" si="0"/>
        <v>0</v>
      </c>
      <c r="W25">
        <v>34</v>
      </c>
    </row>
    <row r="26" spans="6:23" ht="35.65" customHeight="1" x14ac:dyDescent="0.15">
      <c r="F26" t="s">
        <v>1158</v>
      </c>
      <c r="G26" t="s">
        <v>1159</v>
      </c>
      <c r="H26">
        <f t="shared" si="0"/>
        <v>0</v>
      </c>
      <c r="W26">
        <v>34</v>
      </c>
    </row>
    <row r="27" spans="6:23" ht="11.45" customHeight="1" x14ac:dyDescent="0.15">
      <c r="F27" t="s">
        <v>1160</v>
      </c>
      <c r="G27" t="s">
        <v>1161</v>
      </c>
      <c r="H27">
        <f t="shared" si="0"/>
        <v>0</v>
      </c>
      <c r="W27">
        <v>11</v>
      </c>
    </row>
    <row r="28" spans="6:23" ht="11.45" customHeight="1" x14ac:dyDescent="0.15">
      <c r="F28">
        <v>2</v>
      </c>
      <c r="G28" t="s">
        <v>1162</v>
      </c>
      <c r="H28">
        <f t="shared" si="0"/>
        <v>0</v>
      </c>
      <c r="I28">
        <f>SUM(I29:I31)</f>
        <v>0</v>
      </c>
      <c r="W28">
        <v>11</v>
      </c>
    </row>
    <row r="29" spans="6:23" ht="11.45" customHeight="1" x14ac:dyDescent="0.15">
      <c r="F29" t="s">
        <v>825</v>
      </c>
      <c r="G29" t="s">
        <v>1163</v>
      </c>
      <c r="H29">
        <f t="shared" si="0"/>
        <v>0</v>
      </c>
      <c r="W29">
        <v>11</v>
      </c>
    </row>
    <row r="30" spans="6:23" ht="11.45" customHeight="1" x14ac:dyDescent="0.15">
      <c r="F30" t="s">
        <v>425</v>
      </c>
      <c r="G30" t="s">
        <v>1164</v>
      </c>
      <c r="H30">
        <f t="shared" si="0"/>
        <v>0</v>
      </c>
      <c r="W30">
        <v>11</v>
      </c>
    </row>
    <row r="31" spans="6:23" ht="11.45" customHeight="1" x14ac:dyDescent="0.15">
      <c r="F31" t="s">
        <v>428</v>
      </c>
      <c r="G31" t="s">
        <v>1165</v>
      </c>
      <c r="H31">
        <f t="shared" si="0"/>
        <v>0</v>
      </c>
      <c r="W31">
        <v>11</v>
      </c>
    </row>
    <row r="32" spans="6:23" ht="11.45" customHeight="1" x14ac:dyDescent="0.15">
      <c r="F32">
        <v>3</v>
      </c>
      <c r="G32" t="s">
        <v>1166</v>
      </c>
      <c r="H32">
        <f t="shared" si="0"/>
        <v>0</v>
      </c>
      <c r="I32">
        <f>SUM(I33:I34)</f>
        <v>0</v>
      </c>
      <c r="W32">
        <v>11</v>
      </c>
    </row>
    <row r="33" spans="6:23" ht="48.2" customHeight="1" x14ac:dyDescent="0.15">
      <c r="F33" t="s">
        <v>442</v>
      </c>
      <c r="G33" t="s">
        <v>1167</v>
      </c>
      <c r="H33">
        <f t="shared" si="0"/>
        <v>0</v>
      </c>
      <c r="W33">
        <v>46</v>
      </c>
    </row>
    <row r="34" spans="6:23" ht="11.45" customHeight="1" x14ac:dyDescent="0.15">
      <c r="F34" t="s">
        <v>450</v>
      </c>
      <c r="G34" t="s">
        <v>1168</v>
      </c>
      <c r="H34">
        <f t="shared" si="0"/>
        <v>0</v>
      </c>
      <c r="W34">
        <v>11</v>
      </c>
    </row>
    <row r="35" spans="6:23" ht="11.45" customHeight="1" x14ac:dyDescent="0.15">
      <c r="F35">
        <v>4</v>
      </c>
      <c r="G35" t="s">
        <v>1169</v>
      </c>
      <c r="H35">
        <f t="shared" si="0"/>
        <v>0</v>
      </c>
      <c r="W35">
        <v>11</v>
      </c>
    </row>
    <row r="36" spans="6:23" ht="11.45" customHeight="1" x14ac:dyDescent="0.15">
      <c r="G36" t="s">
        <v>1170</v>
      </c>
      <c r="H36">
        <f t="shared" si="0"/>
        <v>0</v>
      </c>
      <c r="I36">
        <f>SUM(I15,I28,I32,I35)</f>
        <v>0</v>
      </c>
      <c r="W36">
        <v>11</v>
      </c>
    </row>
    <row r="37" spans="6:23" ht="29.25" customHeight="1" x14ac:dyDescent="0.15">
      <c r="F37" t="s">
        <v>1171</v>
      </c>
      <c r="G37" s="1" t="s">
        <v>1172</v>
      </c>
      <c r="H37" s="1"/>
      <c r="I37" s="1"/>
      <c r="J37" s="1"/>
      <c r="W37">
        <v>28</v>
      </c>
    </row>
    <row r="38" spans="6:23" ht="24" customHeight="1" x14ac:dyDescent="0.15">
      <c r="F38" t="s">
        <v>101</v>
      </c>
      <c r="G38" t="s">
        <v>1173</v>
      </c>
      <c r="H38">
        <f t="shared" ref="H38:H58" si="1">SUM(I38:J38)</f>
        <v>0</v>
      </c>
      <c r="I38">
        <f>SUM(I39,I44,I47)</f>
        <v>0</v>
      </c>
      <c r="W38">
        <v>23</v>
      </c>
    </row>
    <row r="39" spans="6:23" ht="11.45" customHeight="1" x14ac:dyDescent="0.15">
      <c r="F39" t="s">
        <v>1138</v>
      </c>
      <c r="G39" t="s">
        <v>1137</v>
      </c>
      <c r="H39">
        <f t="shared" si="1"/>
        <v>0</v>
      </c>
      <c r="I39">
        <f>SUM(I40:I43)</f>
        <v>0</v>
      </c>
      <c r="W39">
        <v>11</v>
      </c>
    </row>
    <row r="40" spans="6:23" ht="24" customHeight="1" x14ac:dyDescent="0.15">
      <c r="F40" t="s">
        <v>1174</v>
      </c>
      <c r="G40" t="s">
        <v>1175</v>
      </c>
      <c r="H40">
        <f t="shared" si="1"/>
        <v>0</v>
      </c>
      <c r="W40">
        <v>23</v>
      </c>
    </row>
    <row r="41" spans="6:23" ht="11.45" customHeight="1" x14ac:dyDescent="0.15">
      <c r="F41" t="s">
        <v>1176</v>
      </c>
      <c r="G41" t="s">
        <v>1177</v>
      </c>
      <c r="H41">
        <f t="shared" si="1"/>
        <v>0</v>
      </c>
      <c r="W41">
        <v>11</v>
      </c>
    </row>
    <row r="42" spans="6:23" ht="11.45" customHeight="1" x14ac:dyDescent="0.15">
      <c r="F42" t="s">
        <v>1178</v>
      </c>
      <c r="G42" t="s">
        <v>1179</v>
      </c>
      <c r="H42">
        <f t="shared" si="1"/>
        <v>0</v>
      </c>
      <c r="W42">
        <v>11</v>
      </c>
    </row>
    <row r="43" spans="6:23" ht="35.65" customHeight="1" x14ac:dyDescent="0.15">
      <c r="F43" t="s">
        <v>1180</v>
      </c>
      <c r="G43" t="s">
        <v>1181</v>
      </c>
      <c r="H43">
        <f t="shared" si="1"/>
        <v>0</v>
      </c>
      <c r="W43">
        <v>34</v>
      </c>
    </row>
    <row r="44" spans="6:23" ht="11.45" customHeight="1" x14ac:dyDescent="0.15">
      <c r="F44" t="s">
        <v>1140</v>
      </c>
      <c r="G44" t="s">
        <v>1166</v>
      </c>
      <c r="H44">
        <f t="shared" si="1"/>
        <v>0</v>
      </c>
      <c r="I44">
        <f>SUM(I45:I46)</f>
        <v>0</v>
      </c>
      <c r="W44">
        <v>11</v>
      </c>
    </row>
    <row r="45" spans="6:23" ht="48.2" customHeight="1" x14ac:dyDescent="0.15">
      <c r="F45" t="s">
        <v>1182</v>
      </c>
      <c r="G45" t="s">
        <v>1167</v>
      </c>
      <c r="H45">
        <f t="shared" si="1"/>
        <v>0</v>
      </c>
      <c r="W45">
        <v>46</v>
      </c>
    </row>
    <row r="46" spans="6:23" ht="11.45" customHeight="1" x14ac:dyDescent="0.15">
      <c r="F46" t="s">
        <v>1183</v>
      </c>
      <c r="G46" t="s">
        <v>1168</v>
      </c>
      <c r="H46">
        <f t="shared" si="1"/>
        <v>0</v>
      </c>
      <c r="W46">
        <v>11</v>
      </c>
    </row>
    <row r="47" spans="6:23" ht="11.45" customHeight="1" x14ac:dyDescent="0.15">
      <c r="F47" t="s">
        <v>1142</v>
      </c>
      <c r="G47" t="s">
        <v>1184</v>
      </c>
      <c r="H47">
        <f t="shared" si="1"/>
        <v>0</v>
      </c>
      <c r="W47">
        <v>11</v>
      </c>
    </row>
    <row r="48" spans="6:23" ht="24" customHeight="1" x14ac:dyDescent="0.15">
      <c r="F48" t="s">
        <v>105</v>
      </c>
      <c r="G48" t="s">
        <v>1185</v>
      </c>
      <c r="H48">
        <f t="shared" si="1"/>
        <v>0</v>
      </c>
      <c r="I48">
        <f>SUM(I49,I54,I57)</f>
        <v>0</v>
      </c>
      <c r="W48">
        <v>23</v>
      </c>
    </row>
    <row r="49" spans="1:23" ht="11.45" customHeight="1" x14ac:dyDescent="0.15">
      <c r="F49" t="s">
        <v>825</v>
      </c>
      <c r="G49" t="s">
        <v>1137</v>
      </c>
      <c r="H49">
        <f t="shared" si="1"/>
        <v>0</v>
      </c>
      <c r="I49">
        <f>SUM(I50:I53)</f>
        <v>0</v>
      </c>
      <c r="W49">
        <v>11</v>
      </c>
    </row>
    <row r="50" spans="1:23" ht="24" customHeight="1" x14ac:dyDescent="0.15">
      <c r="F50" t="s">
        <v>828</v>
      </c>
      <c r="G50" t="s">
        <v>1175</v>
      </c>
      <c r="H50">
        <f t="shared" si="1"/>
        <v>0</v>
      </c>
      <c r="W50">
        <v>23</v>
      </c>
    </row>
    <row r="51" spans="1:23" ht="11.45" customHeight="1" x14ac:dyDescent="0.15">
      <c r="F51" t="s">
        <v>831</v>
      </c>
      <c r="G51" t="s">
        <v>1177</v>
      </c>
      <c r="H51">
        <f t="shared" si="1"/>
        <v>0</v>
      </c>
      <c r="W51">
        <v>11</v>
      </c>
    </row>
    <row r="52" spans="1:23" ht="11.45" customHeight="1" x14ac:dyDescent="0.15">
      <c r="F52" t="s">
        <v>1186</v>
      </c>
      <c r="G52" t="s">
        <v>1179</v>
      </c>
      <c r="H52">
        <f t="shared" si="1"/>
        <v>0</v>
      </c>
      <c r="W52">
        <v>11</v>
      </c>
    </row>
    <row r="53" spans="1:23" ht="35.65" customHeight="1" x14ac:dyDescent="0.15">
      <c r="F53" t="s">
        <v>1187</v>
      </c>
      <c r="G53" t="s">
        <v>1181</v>
      </c>
      <c r="H53">
        <f t="shared" si="1"/>
        <v>0</v>
      </c>
      <c r="W53">
        <v>34</v>
      </c>
    </row>
    <row r="54" spans="1:23" ht="11.45" customHeight="1" x14ac:dyDescent="0.15">
      <c r="F54" t="s">
        <v>425</v>
      </c>
      <c r="G54" t="s">
        <v>1166</v>
      </c>
      <c r="H54">
        <f t="shared" si="1"/>
        <v>0</v>
      </c>
      <c r="I54">
        <f>SUM(I55:I56)</f>
        <v>0</v>
      </c>
      <c r="W54">
        <v>11</v>
      </c>
    </row>
    <row r="55" spans="1:23" ht="48.2" customHeight="1" x14ac:dyDescent="0.15">
      <c r="F55" t="s">
        <v>835</v>
      </c>
      <c r="G55" t="s">
        <v>1167</v>
      </c>
      <c r="H55">
        <f t="shared" si="1"/>
        <v>0</v>
      </c>
      <c r="W55">
        <v>46</v>
      </c>
    </row>
    <row r="56" spans="1:23" ht="11.45" customHeight="1" x14ac:dyDescent="0.15">
      <c r="F56" t="s">
        <v>837</v>
      </c>
      <c r="G56" t="s">
        <v>1168</v>
      </c>
      <c r="H56">
        <f t="shared" si="1"/>
        <v>0</v>
      </c>
      <c r="W56">
        <v>11</v>
      </c>
    </row>
    <row r="57" spans="1:23" ht="11.45" customHeight="1" x14ac:dyDescent="0.15">
      <c r="F57" t="s">
        <v>428</v>
      </c>
      <c r="G57" t="s">
        <v>1184</v>
      </c>
      <c r="H57">
        <f t="shared" si="1"/>
        <v>0</v>
      </c>
      <c r="W57">
        <v>11</v>
      </c>
    </row>
    <row r="58" spans="1:23" ht="11.45" customHeight="1" x14ac:dyDescent="0.15">
      <c r="G58" t="s">
        <v>1170</v>
      </c>
      <c r="H58">
        <f t="shared" si="1"/>
        <v>0</v>
      </c>
      <c r="I58">
        <f>SUM(I38,I48)</f>
        <v>0</v>
      </c>
      <c r="W58">
        <v>11</v>
      </c>
    </row>
    <row r="59" spans="1:23" ht="10.5" hidden="1" customHeight="1" x14ac:dyDescent="0.15">
      <c r="A59" t="s">
        <v>84</v>
      </c>
      <c r="B59">
        <v>0</v>
      </c>
      <c r="C59">
        <v>0</v>
      </c>
      <c r="D59">
        <v>0</v>
      </c>
      <c r="E59">
        <v>3</v>
      </c>
      <c r="F59">
        <v>6</v>
      </c>
      <c r="G59">
        <v>60</v>
      </c>
      <c r="H59">
        <v>0</v>
      </c>
      <c r="I59">
        <v>0</v>
      </c>
      <c r="J59">
        <v>0</v>
      </c>
      <c r="K59">
        <v>1</v>
      </c>
      <c r="L59">
        <v>8</v>
      </c>
      <c r="M59">
        <v>8</v>
      </c>
      <c r="N59">
        <v>8</v>
      </c>
      <c r="O59">
        <v>8</v>
      </c>
      <c r="P59">
        <v>8</v>
      </c>
      <c r="Q59">
        <v>8</v>
      </c>
      <c r="R59">
        <v>8</v>
      </c>
      <c r="S59">
        <v>8</v>
      </c>
      <c r="T59">
        <v>8</v>
      </c>
      <c r="U59">
        <v>8</v>
      </c>
      <c r="V59">
        <v>8</v>
      </c>
      <c r="W5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x14ac:dyDescent="0.15"/>
  <cols>
    <col min="1" max="4" width="4.7109375" hidden="1" customWidth="1"/>
    <col min="5" max="5" width="3" customWidth="1"/>
    <col min="6" max="6" width="6" customWidth="1"/>
    <col min="7" max="7" width="18" customWidth="1"/>
    <col min="8" max="8" width="27" customWidth="1"/>
    <col min="9" max="9" width="18" customWidth="1"/>
    <col min="10" max="14" width="0.85546875" hidden="1" customWidth="1"/>
    <col min="15" max="28" width="21.7109375" hidden="1" customWidth="1"/>
    <col min="29" max="71" width="0.85546875" hidden="1" customWidth="1"/>
    <col min="72" max="79" width="21.7109375" hidden="1" customWidth="1"/>
    <col min="80" max="81" width="29.140625" hidden="1" customWidth="1"/>
    <col min="82" max="89" width="21.7109375" hidden="1" customWidth="1"/>
    <col min="90" max="102" width="0.7109375" hidden="1" customWidth="1"/>
    <col min="103" max="114" width="21.7109375" customWidth="1"/>
    <col min="115" max="128" width="0.7109375" customWidth="1"/>
    <col min="129" max="178" width="0.7109375" hidden="1" customWidth="1"/>
    <col min="179" max="179" width="0.140625" customWidth="1"/>
    <col min="180" max="184" width="8" customWidth="1"/>
    <col min="185" max="185" width="9.140625" hidden="1"/>
  </cols>
  <sheetData>
    <row r="1" spans="6:185" ht="12" hidden="1" customHeight="1" x14ac:dyDescent="0.15">
      <c r="GC1" t="s">
        <v>14</v>
      </c>
    </row>
    <row r="2" spans="6:185" ht="12" hidden="1" customHeight="1" x14ac:dyDescent="0.15">
      <c r="GC2">
        <v>0</v>
      </c>
    </row>
    <row r="3" spans="6:185" ht="12" hidden="1" customHeight="1" x14ac:dyDescent="0.15">
      <c r="GC3">
        <v>0</v>
      </c>
    </row>
    <row r="4" spans="6:185" ht="10.5" customHeight="1" x14ac:dyDescent="0.15">
      <c r="GC4">
        <v>10</v>
      </c>
    </row>
    <row r="5" spans="6:185" ht="27.4" customHeight="1" x14ac:dyDescent="0.15">
      <c r="F5" s="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GC5">
        <v>26</v>
      </c>
    </row>
    <row r="6" spans="6:185" ht="18.75" customHeight="1" x14ac:dyDescent="0.15">
      <c r="F6" s="1" t="str">
        <f>IF(org=0,"Не определено",org)</f>
        <v>КГУП "Примтеплоэнерго"</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GC6">
        <v>18</v>
      </c>
    </row>
    <row r="7" spans="6:185" ht="10.5" customHeight="1" x14ac:dyDescent="0.15">
      <c r="GC7">
        <v>10</v>
      </c>
    </row>
    <row r="8" spans="6:185" ht="11.25" hidden="1" customHeight="1" x14ac:dyDescent="0.15">
      <c r="O8" s="1" t="s">
        <v>1188</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t="s">
        <v>1189</v>
      </c>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GC8">
        <v>0</v>
      </c>
    </row>
    <row r="9" spans="6:185" ht="11.25" hidden="1" customHeight="1" x14ac:dyDescent="0.15">
      <c r="FW9" s="1"/>
      <c r="GC9">
        <v>0</v>
      </c>
    </row>
    <row r="10" spans="6:185" ht="11.45" customHeight="1" x14ac:dyDescent="0.15">
      <c r="F10" s="1" t="s">
        <v>418</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GC10">
        <v>11</v>
      </c>
    </row>
    <row r="11" spans="6:185" ht="12.75" customHeight="1" x14ac:dyDescent="0.15">
      <c r="F11" s="1" t="s">
        <v>90</v>
      </c>
      <c r="G11" s="1" t="s">
        <v>1190</v>
      </c>
      <c r="H11" s="1" t="s">
        <v>1191</v>
      </c>
      <c r="I11" s="1" t="s">
        <v>1192</v>
      </c>
      <c r="J11" s="1"/>
      <c r="K11" s="1"/>
      <c r="L11" s="1"/>
      <c r="M11" s="1"/>
      <c r="N11" s="1"/>
      <c r="O11" s="1" t="s">
        <v>1193</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t="s">
        <v>1193</v>
      </c>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t="s">
        <v>1193</v>
      </c>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GC11">
        <v>12</v>
      </c>
    </row>
    <row r="12" spans="6:185" ht="12.75" customHeight="1" x14ac:dyDescent="0.15">
      <c r="F12" s="1"/>
      <c r="G12" s="1"/>
      <c r="H12" s="1"/>
      <c r="I12" s="1"/>
      <c r="J12" s="1"/>
      <c r="K12" s="1"/>
      <c r="L12" s="1"/>
      <c r="M12" s="1"/>
      <c r="N12" s="1"/>
      <c r="O12" s="1" t="s">
        <v>1194</v>
      </c>
      <c r="P12" s="1"/>
      <c r="Q12" s="1"/>
      <c r="R12" s="1"/>
      <c r="S12" s="1" t="s">
        <v>1195</v>
      </c>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t="s">
        <v>1196</v>
      </c>
      <c r="BU12" s="1"/>
      <c r="BV12" s="1"/>
      <c r="BW12" s="1"/>
      <c r="BX12" s="1" t="s">
        <v>1197</v>
      </c>
      <c r="BY12" s="1"/>
      <c r="BZ12" s="1"/>
      <c r="CA12" s="1"/>
      <c r="CB12" s="1" t="s">
        <v>1198</v>
      </c>
      <c r="CC12" s="1"/>
      <c r="CD12" s="1" t="s">
        <v>1199</v>
      </c>
      <c r="CE12" s="1"/>
      <c r="CF12" s="1"/>
      <c r="CG12" s="1"/>
      <c r="CH12" s="1"/>
      <c r="CI12" s="1"/>
      <c r="CJ12" s="1"/>
      <c r="CK12" s="1"/>
      <c r="CL12" s="1"/>
      <c r="CM12" s="1"/>
      <c r="CN12" s="1"/>
      <c r="CO12" s="1"/>
      <c r="CP12" s="1"/>
      <c r="CQ12" s="1"/>
      <c r="CR12" s="1"/>
      <c r="CS12" s="1"/>
      <c r="CT12" s="1"/>
      <c r="CU12" s="1"/>
      <c r="CV12" s="1"/>
      <c r="CW12" s="1"/>
      <c r="CX12" s="1"/>
      <c r="CY12" s="1" t="s">
        <v>1200</v>
      </c>
      <c r="CZ12" s="1"/>
      <c r="DA12" s="1"/>
      <c r="DB12" s="1"/>
      <c r="DC12" s="1"/>
      <c r="DD12" s="1"/>
      <c r="DE12" s="1" t="s">
        <v>1201</v>
      </c>
      <c r="DF12" s="1"/>
      <c r="DG12" s="1" t="s">
        <v>1199</v>
      </c>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GC12">
        <v>12</v>
      </c>
    </row>
    <row r="13" spans="6:185" ht="37.9" customHeight="1" x14ac:dyDescent="0.15">
      <c r="F13" s="1"/>
      <c r="G13" s="1"/>
      <c r="H13" s="1"/>
      <c r="I13" s="1"/>
      <c r="J13" s="1"/>
      <c r="K13" s="1"/>
      <c r="L13" s="1"/>
      <c r="M13" s="1"/>
      <c r="N13" s="1"/>
      <c r="O13" s="1" t="s">
        <v>1202</v>
      </c>
      <c r="P13" s="1"/>
      <c r="Q13" s="1"/>
      <c r="R13" s="1"/>
      <c r="S13" s="1" t="s">
        <v>1203</v>
      </c>
      <c r="T13" s="1"/>
      <c r="U13" s="1" t="s">
        <v>1204</v>
      </c>
      <c r="V13" s="1"/>
      <c r="W13" s="1"/>
      <c r="X13" s="1"/>
      <c r="Y13" s="1" t="s">
        <v>1205</v>
      </c>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t="s">
        <v>1206</v>
      </c>
      <c r="BU13" s="1"/>
      <c r="BV13" s="1" t="s">
        <v>1207</v>
      </c>
      <c r="BW13" s="1"/>
      <c r="BX13" s="1" t="s">
        <v>1208</v>
      </c>
      <c r="BY13" s="1"/>
      <c r="BZ13" s="1" t="s">
        <v>1209</v>
      </c>
      <c r="CA13" s="1"/>
      <c r="CB13" s="1" t="s">
        <v>1210</v>
      </c>
      <c r="CC13" s="1"/>
      <c r="CD13" s="1" t="s">
        <v>1211</v>
      </c>
      <c r="CE13" s="1"/>
      <c r="CF13" s="1" t="s">
        <v>1212</v>
      </c>
      <c r="CG13" s="1"/>
      <c r="CH13" s="1" t="s">
        <v>1213</v>
      </c>
      <c r="CI13" s="1"/>
      <c r="CJ13" s="1"/>
      <c r="CK13" s="1"/>
      <c r="CL13" s="1"/>
      <c r="CM13" s="1"/>
      <c r="CN13" s="1"/>
      <c r="CO13" s="1"/>
      <c r="CP13" s="1"/>
      <c r="CQ13" s="1"/>
      <c r="CR13" s="1"/>
      <c r="CS13" s="1"/>
      <c r="CT13" s="1"/>
      <c r="CU13" s="1"/>
      <c r="CV13" s="1"/>
      <c r="CW13" s="1"/>
      <c r="CX13" s="1"/>
      <c r="CY13" s="1" t="s">
        <v>1214</v>
      </c>
      <c r="CZ13" s="1"/>
      <c r="DA13" s="1" t="s">
        <v>1215</v>
      </c>
      <c r="DB13" s="1"/>
      <c r="DC13" s="1" t="s">
        <v>1216</v>
      </c>
      <c r="DD13" s="1"/>
      <c r="DE13" s="1" t="s">
        <v>1217</v>
      </c>
      <c r="DF13" s="1"/>
      <c r="DG13" s="1" t="s">
        <v>1218</v>
      </c>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GC13">
        <v>36</v>
      </c>
    </row>
    <row r="14" spans="6:185" ht="37.9" customHeight="1" x14ac:dyDescent="0.15">
      <c r="F14" s="1"/>
      <c r="G14" s="1"/>
      <c r="H14" s="1"/>
      <c r="I14" s="1"/>
      <c r="J14" s="1"/>
      <c r="K14" s="1"/>
      <c r="L14" s="1"/>
      <c r="M14" s="1"/>
      <c r="N14" s="1"/>
      <c r="O14" s="1" t="s">
        <v>1219</v>
      </c>
      <c r="P14" s="1"/>
      <c r="Q14" s="1" t="s">
        <v>1220</v>
      </c>
      <c r="R14" s="1"/>
      <c r="S14" s="1"/>
      <c r="T14" s="1"/>
      <c r="U14" s="1" t="s">
        <v>952</v>
      </c>
      <c r="V14" s="1"/>
      <c r="W14" s="1" t="s">
        <v>955</v>
      </c>
      <c r="X14" s="1"/>
      <c r="Y14" s="1" t="s">
        <v>952</v>
      </c>
      <c r="Z14" s="1"/>
      <c r="AA14" s="1" t="s">
        <v>962</v>
      </c>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t="s">
        <v>1221</v>
      </c>
      <c r="CI14" s="1"/>
      <c r="CJ14" s="1" t="s">
        <v>1222</v>
      </c>
      <c r="CK14" s="1"/>
      <c r="CL14" s="1"/>
      <c r="CM14" s="1"/>
      <c r="CN14" s="1"/>
      <c r="CO14" s="1"/>
      <c r="CP14" s="1"/>
      <c r="CQ14" s="1"/>
      <c r="CR14" s="1"/>
      <c r="CS14" s="1"/>
      <c r="CT14" s="1"/>
      <c r="CU14" s="1"/>
      <c r="CV14" s="1"/>
      <c r="CW14" s="1"/>
      <c r="CX14" s="1"/>
      <c r="CY14" s="1"/>
      <c r="CZ14" s="1"/>
      <c r="DA14" s="1"/>
      <c r="DB14" s="1"/>
      <c r="DC14" s="1"/>
      <c r="DD14" s="1"/>
      <c r="DE14" s="1"/>
      <c r="DF14" s="1"/>
      <c r="DG14" s="1" t="s">
        <v>1223</v>
      </c>
      <c r="DH14" s="1"/>
      <c r="DI14" s="1" t="s">
        <v>1224</v>
      </c>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GC14">
        <v>36</v>
      </c>
    </row>
    <row r="15" spans="6:185" ht="37.9" customHeight="1" x14ac:dyDescent="0.15">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GC15">
        <v>36</v>
      </c>
    </row>
    <row r="16" spans="6:185" ht="12.75" customHeight="1" x14ac:dyDescent="0.15">
      <c r="F16" s="1"/>
      <c r="G16" s="1"/>
      <c r="H16" s="1"/>
      <c r="I16" s="1"/>
      <c r="J16" s="1"/>
      <c r="K16" s="1"/>
      <c r="L16" s="1"/>
      <c r="M16" s="1"/>
      <c r="N16" s="1"/>
      <c r="O16" s="1" t="s">
        <v>942</v>
      </c>
      <c r="P16" s="1"/>
      <c r="Q16" s="1" t="s">
        <v>944</v>
      </c>
      <c r="R16" s="1"/>
      <c r="S16" s="1" t="s">
        <v>948</v>
      </c>
      <c r="T16" s="1"/>
      <c r="U16" s="1" t="s">
        <v>953</v>
      </c>
      <c r="V16" s="1"/>
      <c r="W16" s="1" t="s">
        <v>956</v>
      </c>
      <c r="X16" s="1"/>
      <c r="Y16" s="1" t="s">
        <v>960</v>
      </c>
      <c r="Z16" s="1"/>
      <c r="AA16" s="1" t="s">
        <v>963</v>
      </c>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t="s">
        <v>675</v>
      </c>
      <c r="BU16" s="1"/>
      <c r="BV16" s="1" t="s">
        <v>675</v>
      </c>
      <c r="BW16" s="1"/>
      <c r="BX16" s="1" t="s">
        <v>675</v>
      </c>
      <c r="BY16" s="1"/>
      <c r="BZ16" s="1" t="s">
        <v>675</v>
      </c>
      <c r="CA16" s="1"/>
      <c r="CB16" s="1" t="s">
        <v>1225</v>
      </c>
      <c r="CC16" s="1"/>
      <c r="CD16" s="1" t="s">
        <v>675</v>
      </c>
      <c r="CE16" s="1"/>
      <c r="CF16" s="1" t="s">
        <v>1226</v>
      </c>
      <c r="CG16" s="1"/>
      <c r="CH16" s="1" t="s">
        <v>1227</v>
      </c>
      <c r="CI16" s="1"/>
      <c r="CJ16" s="1" t="s">
        <v>1227</v>
      </c>
      <c r="CK16" s="1"/>
      <c r="CL16" s="1"/>
      <c r="CM16" s="1"/>
      <c r="CN16" s="1"/>
      <c r="CO16" s="1"/>
      <c r="CP16" s="1"/>
      <c r="CQ16" s="1"/>
      <c r="CR16" s="1"/>
      <c r="CS16" s="1"/>
      <c r="CT16" s="1"/>
      <c r="CU16" s="1"/>
      <c r="CV16" s="1"/>
      <c r="CW16" s="1"/>
      <c r="CX16" s="1"/>
      <c r="CY16" s="1" t="s">
        <v>675</v>
      </c>
      <c r="CZ16" s="1"/>
      <c r="DA16" s="1" t="s">
        <v>675</v>
      </c>
      <c r="DB16" s="1"/>
      <c r="DC16" s="1" t="s">
        <v>675</v>
      </c>
      <c r="DD16" s="1"/>
      <c r="DE16" s="1" t="s">
        <v>1225</v>
      </c>
      <c r="DF16" s="1"/>
      <c r="DG16" s="1" t="s">
        <v>1228</v>
      </c>
      <c r="DH16" s="1"/>
      <c r="DI16" s="1" t="s">
        <v>1228</v>
      </c>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GC16">
        <v>12</v>
      </c>
    </row>
    <row r="17" spans="1:185" ht="15.75" customHeight="1" x14ac:dyDescent="0.15">
      <c r="F17" s="1"/>
      <c r="G17" s="1"/>
      <c r="H17" s="1"/>
      <c r="I17" s="1"/>
      <c r="J17" s="1"/>
      <c r="K17" s="1"/>
      <c r="L17" s="1"/>
      <c r="M17" s="1"/>
      <c r="N17" s="1"/>
      <c r="O17" t="s">
        <v>1229</v>
      </c>
      <c r="P17" t="s">
        <v>1230</v>
      </c>
      <c r="Q17" t="s">
        <v>1229</v>
      </c>
      <c r="R17" t="s">
        <v>1230</v>
      </c>
      <c r="S17" t="s">
        <v>1229</v>
      </c>
      <c r="T17" t="s">
        <v>1230</v>
      </c>
      <c r="U17" t="s">
        <v>1229</v>
      </c>
      <c r="V17" t="s">
        <v>1230</v>
      </c>
      <c r="W17" t="s">
        <v>1229</v>
      </c>
      <c r="X17" t="s">
        <v>1230</v>
      </c>
      <c r="Y17" t="s">
        <v>1229</v>
      </c>
      <c r="Z17" t="s">
        <v>1230</v>
      </c>
      <c r="AA17" t="s">
        <v>1229</v>
      </c>
      <c r="AB17" t="s">
        <v>1230</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t="s">
        <v>1229</v>
      </c>
      <c r="BU17" t="s">
        <v>1230</v>
      </c>
      <c r="BV17" t="s">
        <v>1229</v>
      </c>
      <c r="BW17" t="s">
        <v>1230</v>
      </c>
      <c r="BX17" t="s">
        <v>1229</v>
      </c>
      <c r="BY17" t="s">
        <v>1230</v>
      </c>
      <c r="BZ17" t="s">
        <v>1229</v>
      </c>
      <c r="CA17" t="s">
        <v>1230</v>
      </c>
      <c r="CB17" t="s">
        <v>1229</v>
      </c>
      <c r="CC17" t="s">
        <v>1230</v>
      </c>
      <c r="CD17" t="s">
        <v>1229</v>
      </c>
      <c r="CE17" t="s">
        <v>1230</v>
      </c>
      <c r="CF17" t="s">
        <v>1229</v>
      </c>
      <c r="CG17" t="s">
        <v>1230</v>
      </c>
      <c r="CH17" t="s">
        <v>1229</v>
      </c>
      <c r="CI17" t="s">
        <v>1230</v>
      </c>
      <c r="CJ17" t="s">
        <v>1229</v>
      </c>
      <c r="CK17" t="s">
        <v>1230</v>
      </c>
      <c r="CL17" s="1"/>
      <c r="CM17" s="1"/>
      <c r="CN17" s="1"/>
      <c r="CO17" s="1"/>
      <c r="CP17" s="1"/>
      <c r="CQ17" s="1"/>
      <c r="CR17" s="1"/>
      <c r="CS17" s="1"/>
      <c r="CT17" s="1"/>
      <c r="CU17" s="1"/>
      <c r="CV17" s="1"/>
      <c r="CW17" s="1"/>
      <c r="CX17" s="1"/>
      <c r="CY17" t="s">
        <v>1229</v>
      </c>
      <c r="CZ17" t="s">
        <v>1230</v>
      </c>
      <c r="DA17" t="s">
        <v>1229</v>
      </c>
      <c r="DB17" t="s">
        <v>1230</v>
      </c>
      <c r="DC17" t="s">
        <v>1229</v>
      </c>
      <c r="DD17" t="s">
        <v>1230</v>
      </c>
      <c r="DE17" t="s">
        <v>1229</v>
      </c>
      <c r="DF17" t="s">
        <v>1230</v>
      </c>
      <c r="DG17" t="s">
        <v>1229</v>
      </c>
      <c r="DH17" t="s">
        <v>1230</v>
      </c>
      <c r="DI17" t="s">
        <v>1229</v>
      </c>
      <c r="DJ17" t="s">
        <v>1230</v>
      </c>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GC17">
        <v>15</v>
      </c>
    </row>
    <row r="18" spans="1:185" ht="12" hidden="1" customHeight="1" x14ac:dyDescent="0.15">
      <c r="GC18">
        <v>0</v>
      </c>
    </row>
    <row r="19" spans="1:185" ht="11.25" hidden="1" customHeight="1" x14ac:dyDescent="0.15">
      <c r="GC19">
        <v>0</v>
      </c>
    </row>
    <row r="20" spans="1:185" ht="11.25" hidden="1" customHeight="1" x14ac:dyDescent="0.15">
      <c r="F20" t="s">
        <v>494</v>
      </c>
      <c r="GC20">
        <v>0</v>
      </c>
    </row>
    <row r="21" spans="1:185" ht="12.75" customHeight="1" x14ac:dyDescent="0.15">
      <c r="GC21">
        <v>12</v>
      </c>
    </row>
    <row r="22" spans="1:185" ht="12.75" customHeight="1" x14ac:dyDescent="0.15">
      <c r="GC22">
        <v>12</v>
      </c>
    </row>
    <row r="23" spans="1:185" ht="12.75" customHeight="1" x14ac:dyDescent="0.15">
      <c r="GC23">
        <v>12</v>
      </c>
    </row>
    <row r="24" spans="1:185" ht="12.75" customHeight="1" x14ac:dyDescent="0.15">
      <c r="GC24">
        <v>12</v>
      </c>
    </row>
    <row r="25" spans="1:185" ht="12" hidden="1" customHeight="1" x14ac:dyDescent="0.15">
      <c r="A25" t="s">
        <v>84</v>
      </c>
      <c r="B25">
        <v>0</v>
      </c>
      <c r="C25">
        <v>0</v>
      </c>
      <c r="D25">
        <v>0</v>
      </c>
      <c r="E25">
        <v>3</v>
      </c>
      <c r="F25">
        <v>6</v>
      </c>
      <c r="G25">
        <v>18</v>
      </c>
      <c r="H25">
        <v>27</v>
      </c>
      <c r="I25">
        <v>18</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8</v>
      </c>
      <c r="FY25">
        <v>8</v>
      </c>
      <c r="FZ25">
        <v>8</v>
      </c>
      <c r="GA25">
        <v>8</v>
      </c>
      <c r="GB25">
        <v>8</v>
      </c>
      <c r="GC2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x14ac:dyDescent="0.15"/>
  <cols>
    <col min="1" max="2" width="9.140625" hidden="1" customWidth="1"/>
    <col min="3" max="3" width="4" customWidth="1"/>
    <col min="4" max="4" width="6" customWidth="1"/>
    <col min="5" max="5" width="36" customWidth="1"/>
    <col min="6" max="6" width="9" customWidth="1"/>
    <col min="7" max="7" width="42.42578125" hidden="1" customWidth="1"/>
    <col min="8" max="8" width="40.7109375" customWidth="1"/>
    <col min="9" max="9" width="93" customWidth="1"/>
    <col min="10" max="18" width="10" customWidth="1"/>
    <col min="19" max="19" width="10.5703125" hidden="1"/>
  </cols>
  <sheetData>
    <row r="1" spans="3:19" ht="15" hidden="1" customHeight="1" x14ac:dyDescent="0.15">
      <c r="H1">
        <v>4</v>
      </c>
      <c r="S1" t="s">
        <v>14</v>
      </c>
    </row>
    <row r="2" spans="3:19" ht="22.5" hidden="1" customHeight="1" x14ac:dyDescent="0.15">
      <c r="C2" t="s">
        <v>106</v>
      </c>
      <c r="F2" t="str">
        <f>IF(TEMPLATE_SPHERE="HEAT","Гкал/час","тыс. куб. м/сутки")</f>
        <v>тыс. куб. м/сутки</v>
      </c>
      <c r="S2">
        <v>0</v>
      </c>
    </row>
    <row r="3" spans="3:19" ht="15" hidden="1" customHeight="1" x14ac:dyDescent="0.15">
      <c r="S3">
        <v>0</v>
      </c>
    </row>
    <row r="4" spans="3:19" ht="15.75" customHeight="1" x14ac:dyDescent="0.15">
      <c r="S4">
        <v>15</v>
      </c>
    </row>
    <row r="5" spans="3:19" ht="39.75" customHeight="1" x14ac:dyDescent="0.15">
      <c r="D5" s="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
      <c r="F5" s="1"/>
      <c r="G5" s="1"/>
      <c r="H5" s="1"/>
      <c r="S5">
        <v>38</v>
      </c>
    </row>
    <row r="6" spans="3:19" ht="15.75" customHeight="1" x14ac:dyDescent="0.15">
      <c r="D6" s="1" t="str">
        <f>IF(org=0,"Не определено",org)</f>
        <v>КГУП "Примтеплоэнерго"</v>
      </c>
      <c r="E6" s="1"/>
      <c r="F6" s="1"/>
      <c r="G6" s="1"/>
      <c r="H6" s="1"/>
      <c r="S6">
        <v>15</v>
      </c>
    </row>
    <row r="7" spans="3:19" ht="15.75" customHeight="1" x14ac:dyDescent="0.15">
      <c r="S7">
        <v>15</v>
      </c>
    </row>
    <row r="8" spans="3:19" ht="1.1499999999999999" customHeight="1" x14ac:dyDescent="0.15">
      <c r="H8" t="s">
        <v>173</v>
      </c>
      <c r="S8">
        <v>1</v>
      </c>
    </row>
    <row r="9" spans="3:19" ht="15.75" customHeight="1" x14ac:dyDescent="0.15">
      <c r="E9" s="1" t="s">
        <v>165</v>
      </c>
      <c r="F9" s="1"/>
      <c r="G9" t="str">
        <f>IF(G8="","",INDEX(DIFFERENTIATION_UNMERGE_VD,MATCH(G8,DIFFERENTIATION_ID_DIFF,0)))</f>
        <v/>
      </c>
      <c r="H9">
        <f>IF(H8="","",INDEX(DIFFERENTIATION_UNMERGE_VD,MATCH(H8,DIFFERENTIATION_ID_DIFF,0)))</f>
        <v>0</v>
      </c>
      <c r="I9" s="1" t="s">
        <v>419</v>
      </c>
      <c r="S9">
        <v>15</v>
      </c>
    </row>
    <row r="10" spans="3:19" ht="15.75" customHeight="1" x14ac:dyDescent="0.15">
      <c r="E10" s="1" t="s">
        <v>681</v>
      </c>
      <c r="F10" s="1"/>
      <c r="G10" t="str">
        <f>IF(G8="","",INDEX(DIFFERENTIATION_UNMERGE_AREA,MATCH(G8,DIFFERENTIATION_ID_DIFF,0)))</f>
        <v/>
      </c>
      <c r="H10" t="str">
        <f>IF(H8="","",INDEX(DIFFERENTIATION_UNMERGE_AREA,MATCH(H8,DIFFERENTIATION_ID_DIFF,0)))</f>
        <v/>
      </c>
      <c r="I10" s="1"/>
      <c r="S10">
        <v>15</v>
      </c>
    </row>
    <row r="11" spans="3:19" ht="15.75" customHeight="1" x14ac:dyDescent="0.15">
      <c r="E11" s="1" t="s">
        <v>682</v>
      </c>
      <c r="F11" s="1"/>
      <c r="G11" t="str">
        <f>IF(G8="","",INDEX(DIFFERENTIATION_UNMERGE_SYSTEM,MATCH(G8,DIFFERENTIATION_ID_DIFF,0)))</f>
        <v/>
      </c>
      <c r="H11" t="str">
        <f>IF(H8="","",INDEX(DIFFERENTIATION_UNMERGE_SYSTEM,MATCH(H8,DIFFERENTIATION_ID_DIFF,0)))</f>
        <v>без дифференциации</v>
      </c>
      <c r="I11" s="1"/>
      <c r="S11">
        <v>15</v>
      </c>
    </row>
    <row r="12" spans="3:19" ht="15.75" customHeight="1" x14ac:dyDescent="0.15">
      <c r="D12" s="1" t="s">
        <v>418</v>
      </c>
      <c r="E12" s="1"/>
      <c r="F12" s="1"/>
      <c r="I12" s="1"/>
      <c r="S12">
        <v>15</v>
      </c>
    </row>
    <row r="13" spans="3:19" ht="35.65" customHeight="1" x14ac:dyDescent="0.15">
      <c r="D13" t="s">
        <v>90</v>
      </c>
      <c r="E13" t="s">
        <v>420</v>
      </c>
      <c r="F13" t="s">
        <v>683</v>
      </c>
      <c r="G13" t="s">
        <v>421</v>
      </c>
      <c r="H13" t="s">
        <v>421</v>
      </c>
      <c r="I13" s="1"/>
      <c r="S13">
        <v>34</v>
      </c>
    </row>
    <row r="14" spans="3:19" ht="15" hidden="1" customHeight="1" x14ac:dyDescent="0.15">
      <c r="D14" t="s">
        <v>101</v>
      </c>
      <c r="E14" t="s">
        <v>105</v>
      </c>
      <c r="F14" t="s">
        <v>92</v>
      </c>
      <c r="G14" t="str">
        <f>G1&amp;".1"</f>
        <v>.1</v>
      </c>
      <c r="H14" t="str">
        <f>H1&amp;".1"</f>
        <v>4.1</v>
      </c>
      <c r="S14">
        <v>0</v>
      </c>
    </row>
    <row r="15" spans="3:19" ht="15.75" customHeight="1" x14ac:dyDescent="0.15">
      <c r="D15">
        <v>1</v>
      </c>
      <c r="E15" t="str">
        <f>TP_P_A</f>
        <v xml:space="preserve">Количество поданных заявлений </v>
      </c>
      <c r="F15" t="s">
        <v>1231</v>
      </c>
      <c r="I1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v>15</v>
      </c>
    </row>
    <row r="16" spans="3:19" ht="15.75" customHeight="1" x14ac:dyDescent="0.15">
      <c r="D16">
        <v>2</v>
      </c>
      <c r="E16" t="str">
        <f>TP_P_B</f>
        <v xml:space="preserve">Количество исполненных заявлений </v>
      </c>
      <c r="F16" t="s">
        <v>1231</v>
      </c>
      <c r="I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v>15</v>
      </c>
    </row>
    <row r="17" spans="1:19" ht="77.650000000000006" customHeight="1" x14ac:dyDescent="0.15">
      <c r="D17">
        <v>3</v>
      </c>
      <c r="E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t="s">
        <v>1231</v>
      </c>
      <c r="I1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v>74</v>
      </c>
    </row>
    <row r="18" spans="1:19" ht="54.75" customHeight="1" x14ac:dyDescent="0.15">
      <c r="D18">
        <v>4</v>
      </c>
      <c r="E18" t="str">
        <f>TP_P_V_1</f>
        <v>Причины отказа в заключении договора о подключении (технологическом присоединении) к централизованной системе водоотведения</v>
      </c>
      <c r="F18" t="s">
        <v>424</v>
      </c>
      <c r="I1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v>52</v>
      </c>
    </row>
    <row r="19" spans="1:19" ht="60" customHeight="1" x14ac:dyDescent="0.15">
      <c r="D19">
        <v>5</v>
      </c>
      <c r="E1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t="str">
        <f>IF(TEMPLATE_SPHERE="HEAT","Гкал/час","тыс. куб. м/сутки")</f>
        <v>тыс. куб. м/сутки</v>
      </c>
      <c r="G19">
        <f>SUM(G20:G22)</f>
        <v>0</v>
      </c>
      <c r="H19">
        <f>SUM(H20:H22)</f>
        <v>0</v>
      </c>
      <c r="I1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v>57</v>
      </c>
    </row>
    <row r="20" spans="1:19" ht="15" hidden="1" customHeight="1" x14ac:dyDescent="0.15">
      <c r="D20" t="s">
        <v>1232</v>
      </c>
      <c r="S20">
        <v>0</v>
      </c>
    </row>
    <row r="21" spans="1:19" ht="29.25" customHeight="1" x14ac:dyDescent="0.15">
      <c r="D21" t="s">
        <v>431</v>
      </c>
      <c r="F21" t="str">
        <f>IF(TEMPLATE_SPHERE="HEAT","Гкал/час","тыс. куб. м/сутки")</f>
        <v>тыс. куб. м/сутки</v>
      </c>
      <c r="I21" s="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v>28</v>
      </c>
    </row>
    <row r="22" spans="1:19" ht="15.75" customHeight="1" x14ac:dyDescent="0.15">
      <c r="E22" t="s">
        <v>1233</v>
      </c>
      <c r="I22" s="1"/>
      <c r="S22">
        <v>15</v>
      </c>
    </row>
    <row r="23" spans="1:19" ht="22.5" hidden="1" customHeight="1" x14ac:dyDescent="0.15">
      <c r="A23" t="s">
        <v>84</v>
      </c>
      <c r="B23">
        <v>0</v>
      </c>
      <c r="C23">
        <v>4</v>
      </c>
      <c r="D23">
        <v>6</v>
      </c>
      <c r="E23">
        <v>36</v>
      </c>
      <c r="F23">
        <v>9</v>
      </c>
      <c r="G23">
        <v>0</v>
      </c>
      <c r="H23">
        <v>40</v>
      </c>
      <c r="I23">
        <v>93</v>
      </c>
      <c r="J23">
        <v>10</v>
      </c>
      <c r="K23">
        <v>10</v>
      </c>
      <c r="L23">
        <v>10</v>
      </c>
      <c r="M23">
        <v>10</v>
      </c>
      <c r="N23">
        <v>10</v>
      </c>
      <c r="O23">
        <v>10</v>
      </c>
      <c r="P23">
        <v>10</v>
      </c>
      <c r="Q23">
        <v>10</v>
      </c>
      <c r="R23">
        <v>10</v>
      </c>
      <c r="S2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x14ac:dyDescent="0.15"/>
  <cols>
    <col min="1" max="2" width="9.140625" hidden="1" customWidth="1"/>
    <col min="3" max="3" width="3" customWidth="1"/>
    <col min="4" max="4" width="6" customWidth="1"/>
    <col min="5" max="6" width="64" customWidth="1"/>
    <col min="7" max="7" width="140" customWidth="1"/>
    <col min="8" max="16" width="10" customWidth="1"/>
    <col min="17" max="17" width="10.5703125" hidden="1"/>
  </cols>
  <sheetData>
    <row r="1" spans="4:17" ht="22.5" hidden="1" customHeight="1" x14ac:dyDescent="0.15">
      <c r="Q1" t="s">
        <v>14</v>
      </c>
    </row>
    <row r="2" spans="4:17" ht="14.25" hidden="1" customHeight="1" x14ac:dyDescent="0.15">
      <c r="Q2">
        <v>0</v>
      </c>
    </row>
    <row r="3" spans="4:17" ht="14.25" hidden="1" customHeight="1" x14ac:dyDescent="0.15">
      <c r="Q3">
        <v>0</v>
      </c>
    </row>
    <row r="4" spans="4:17" ht="3" customHeight="1" x14ac:dyDescent="0.15">
      <c r="Q4">
        <v>3</v>
      </c>
    </row>
    <row r="5" spans="4:17" ht="29.25" customHeight="1" x14ac:dyDescent="0.15">
      <c r="D5" s="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
      <c r="F5" s="1"/>
      <c r="G5" s="1"/>
      <c r="Q5">
        <v>28</v>
      </c>
    </row>
    <row r="6" spans="4:17" ht="18.75" customHeight="1" x14ac:dyDescent="0.15">
      <c r="D6" s="1" t="str">
        <f>IF(org=0,"Не определено",org)</f>
        <v>КГУП "Примтеплоэнерго"</v>
      </c>
      <c r="E6" s="1"/>
      <c r="F6" s="1"/>
      <c r="G6" s="1"/>
      <c r="Q6">
        <v>18</v>
      </c>
    </row>
    <row r="7" spans="4:17" ht="14.65" customHeight="1" x14ac:dyDescent="0.15">
      <c r="Q7">
        <v>14</v>
      </c>
    </row>
    <row r="8" spans="4:17" ht="1.1499999999999999" customHeight="1" x14ac:dyDescent="0.15">
      <c r="Q8">
        <v>1</v>
      </c>
    </row>
    <row r="9" spans="4:17" ht="14.65" customHeight="1" x14ac:dyDescent="0.15">
      <c r="D9" s="1" t="s">
        <v>418</v>
      </c>
      <c r="E9" s="1"/>
      <c r="F9" s="1"/>
      <c r="G9" s="1" t="s">
        <v>419</v>
      </c>
      <c r="Q9">
        <v>14</v>
      </c>
    </row>
    <row r="10" spans="4:17" ht="24" customHeight="1" x14ac:dyDescent="0.15">
      <c r="D10" t="s">
        <v>90</v>
      </c>
      <c r="E10" t="s">
        <v>420</v>
      </c>
      <c r="F10" t="s">
        <v>508</v>
      </c>
      <c r="G10" s="1"/>
      <c r="Q10">
        <v>23</v>
      </c>
    </row>
    <row r="11" spans="4:17" ht="12" hidden="1" customHeight="1" x14ac:dyDescent="0.15">
      <c r="Q11">
        <v>0</v>
      </c>
    </row>
    <row r="12" spans="4:17" ht="65.25" customHeight="1" x14ac:dyDescent="0.15">
      <c r="D12">
        <v>1</v>
      </c>
      <c r="E1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t="s">
        <v>424</v>
      </c>
      <c r="Q12">
        <v>62</v>
      </c>
    </row>
    <row r="13" spans="4:17" ht="24" customHeight="1" x14ac:dyDescent="0.15">
      <c r="D13" t="s">
        <v>1138</v>
      </c>
      <c r="E1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t="s">
        <v>424</v>
      </c>
      <c r="Q13">
        <v>23</v>
      </c>
    </row>
    <row r="14" spans="4:17" ht="14.65" customHeight="1" x14ac:dyDescent="0.15">
      <c r="D14" t="s">
        <v>1174</v>
      </c>
      <c r="G14" s="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v>14</v>
      </c>
    </row>
    <row r="15" spans="4:17" ht="15.75" customHeight="1" x14ac:dyDescent="0.15">
      <c r="E15" t="s">
        <v>1234</v>
      </c>
      <c r="G15" s="1"/>
      <c r="Q15">
        <v>15</v>
      </c>
    </row>
    <row r="16" spans="4:17" ht="14.65" customHeight="1" x14ac:dyDescent="0.15">
      <c r="D16" t="s">
        <v>1140</v>
      </c>
      <c r="E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t="s">
        <v>424</v>
      </c>
      <c r="Q16">
        <v>14</v>
      </c>
    </row>
    <row r="17" spans="1:17" ht="14.65" customHeight="1" x14ac:dyDescent="0.15">
      <c r="D17" t="s">
        <v>1182</v>
      </c>
      <c r="G17" s="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v>14</v>
      </c>
    </row>
    <row r="18" spans="1:17" ht="21.95" customHeight="1" x14ac:dyDescent="0.15">
      <c r="E18" t="s">
        <v>1235</v>
      </c>
      <c r="G18" s="1"/>
      <c r="Q18">
        <v>21</v>
      </c>
    </row>
    <row r="19" spans="1:17" ht="256.5" hidden="1" customHeight="1" x14ac:dyDescent="0.15">
      <c r="D19" t="s">
        <v>1142</v>
      </c>
      <c r="E19" t="s">
        <v>1236</v>
      </c>
      <c r="G19" t="s">
        <v>1237</v>
      </c>
      <c r="Q19">
        <v>0</v>
      </c>
    </row>
    <row r="20" spans="1:17" ht="14.65" customHeight="1" x14ac:dyDescent="0.15">
      <c r="D20">
        <v>2</v>
      </c>
      <c r="E20" t="s">
        <v>1238</v>
      </c>
      <c r="F20" t="s">
        <v>424</v>
      </c>
      <c r="Q20">
        <v>14</v>
      </c>
    </row>
    <row r="21" spans="1:17" ht="18.75" hidden="1" customHeight="1" x14ac:dyDescent="0.15">
      <c r="D21" t="s">
        <v>753</v>
      </c>
      <c r="Q21">
        <v>0</v>
      </c>
    </row>
    <row r="22" spans="1:17" ht="15.75" customHeight="1" x14ac:dyDescent="0.15">
      <c r="E22" t="s">
        <v>440</v>
      </c>
      <c r="Q22">
        <v>15</v>
      </c>
    </row>
    <row r="23" spans="1:17" ht="22.5" hidden="1" customHeight="1" x14ac:dyDescent="0.15">
      <c r="D23" t="s">
        <v>105</v>
      </c>
      <c r="E23" t="s">
        <v>1239</v>
      </c>
      <c r="F23" t="s">
        <v>424</v>
      </c>
      <c r="Q23">
        <v>0</v>
      </c>
    </row>
    <row r="24" spans="1:17" ht="14.25" hidden="1" customHeight="1" x14ac:dyDescent="0.15">
      <c r="D24" t="s">
        <v>825</v>
      </c>
      <c r="E24" t="s">
        <v>1240</v>
      </c>
      <c r="F24" t="s">
        <v>424</v>
      </c>
      <c r="Q24">
        <v>0</v>
      </c>
    </row>
    <row r="25" spans="1:17" ht="14.25" hidden="1" customHeight="1" x14ac:dyDescent="0.15">
      <c r="D25" t="s">
        <v>828</v>
      </c>
      <c r="G25" s="1" t="s">
        <v>1241</v>
      </c>
      <c r="Q25">
        <v>0</v>
      </c>
    </row>
    <row r="26" spans="1:17" ht="22.5" hidden="1" customHeight="1" x14ac:dyDescent="0.15">
      <c r="E26" t="s">
        <v>1242</v>
      </c>
      <c r="G26" s="1"/>
      <c r="Q26">
        <v>0</v>
      </c>
    </row>
    <row r="27" spans="1:17" ht="3" customHeight="1" x14ac:dyDescent="0.15">
      <c r="Q27">
        <v>3</v>
      </c>
    </row>
    <row r="28" spans="1:17" ht="14.65" customHeight="1" x14ac:dyDescent="0.15">
      <c r="Q28">
        <v>14</v>
      </c>
    </row>
    <row r="29" spans="1:17" ht="14.65" customHeight="1" x14ac:dyDescent="0.15">
      <c r="Q29">
        <v>14</v>
      </c>
    </row>
    <row r="30" spans="1:17" ht="14.65" customHeight="1" x14ac:dyDescent="0.15">
      <c r="Q30">
        <v>14</v>
      </c>
    </row>
    <row r="31" spans="1:17" ht="14.65" customHeight="1" x14ac:dyDescent="0.15">
      <c r="Q31">
        <v>14</v>
      </c>
    </row>
    <row r="32" spans="1:17" ht="22.5" hidden="1" customHeight="1" x14ac:dyDescent="0.15">
      <c r="A32" t="s">
        <v>84</v>
      </c>
      <c r="B32">
        <v>0</v>
      </c>
      <c r="C32">
        <v>3</v>
      </c>
      <c r="D32">
        <v>6</v>
      </c>
      <c r="E32">
        <v>64</v>
      </c>
      <c r="F32">
        <v>64</v>
      </c>
      <c r="G32">
        <v>140</v>
      </c>
      <c r="H32">
        <v>10</v>
      </c>
      <c r="I32">
        <v>10</v>
      </c>
      <c r="J32">
        <v>10</v>
      </c>
      <c r="K32">
        <v>10</v>
      </c>
      <c r="L32">
        <v>10</v>
      </c>
      <c r="M32">
        <v>10</v>
      </c>
      <c r="N32">
        <v>10</v>
      </c>
      <c r="O32">
        <v>10</v>
      </c>
      <c r="P32">
        <v>10</v>
      </c>
      <c r="Q3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abSelected="1" topLeftCell="C13" zoomScale="90" workbookViewId="0">
      <selection activeCell="D14" sqref="D14:H14"/>
    </sheetView>
  </sheetViews>
  <sheetFormatPr defaultColWidth="10.5703125" defaultRowHeight="14.25" customHeight="1" x14ac:dyDescent="0.15"/>
  <cols>
    <col min="1" max="2" width="9.140625" hidden="1" customWidth="1"/>
    <col min="3" max="3" width="3" customWidth="1"/>
    <col min="4" max="4" width="6" customWidth="1"/>
    <col min="5" max="5" width="63" customWidth="1"/>
    <col min="6" max="6" width="1.7109375" hidden="1" customWidth="1"/>
    <col min="7" max="8" width="35" customWidth="1"/>
    <col min="9" max="9" width="91" customWidth="1"/>
    <col min="10" max="10" width="68" customWidth="1"/>
    <col min="11" max="12" width="10" customWidth="1"/>
    <col min="13" max="13" width="10.5703125" hidden="1"/>
  </cols>
  <sheetData>
    <row r="1" spans="3:13" ht="22.5" hidden="1" customHeight="1" x14ac:dyDescent="0.15">
      <c r="M1" t="s">
        <v>14</v>
      </c>
    </row>
    <row r="2" spans="3:13" ht="18.75" hidden="1" customHeight="1" x14ac:dyDescent="0.15">
      <c r="C2" t="s">
        <v>106</v>
      </c>
      <c r="G2" t="s">
        <v>424</v>
      </c>
      <c r="M2">
        <v>0</v>
      </c>
    </row>
    <row r="3" spans="3:13" ht="14.25" hidden="1" customHeight="1" x14ac:dyDescent="0.15">
      <c r="M3">
        <v>0</v>
      </c>
    </row>
    <row r="4" spans="3:13" ht="18.75" hidden="1" customHeight="1" x14ac:dyDescent="0.15">
      <c r="C4" t="s">
        <v>106</v>
      </c>
      <c r="E4" t="s">
        <v>1243</v>
      </c>
      <c r="H4" t="s">
        <v>424</v>
      </c>
      <c r="M4">
        <v>0</v>
      </c>
    </row>
    <row r="5" spans="3:13" ht="14.25" hidden="1" customHeight="1" x14ac:dyDescent="0.15">
      <c r="M5">
        <v>0</v>
      </c>
    </row>
    <row r="6" spans="3:13" ht="18.75" hidden="1" customHeight="1" x14ac:dyDescent="0.15">
      <c r="C6" t="s">
        <v>106</v>
      </c>
      <c r="E6" t="s">
        <v>1244</v>
      </c>
      <c r="H6" t="s">
        <v>424</v>
      </c>
      <c r="M6">
        <v>0</v>
      </c>
    </row>
    <row r="7" spans="3:13" ht="14.25" hidden="1" customHeight="1" x14ac:dyDescent="0.15">
      <c r="M7">
        <v>0</v>
      </c>
    </row>
    <row r="8" spans="3:13" ht="18.75" hidden="1" customHeight="1" x14ac:dyDescent="0.15">
      <c r="C8" t="s">
        <v>106</v>
      </c>
      <c r="E8" t="s">
        <v>1245</v>
      </c>
      <c r="H8" t="s">
        <v>424</v>
      </c>
      <c r="M8">
        <v>0</v>
      </c>
    </row>
    <row r="9" spans="3:13" ht="14.25" hidden="1" customHeight="1" x14ac:dyDescent="0.15">
      <c r="M9">
        <v>0</v>
      </c>
    </row>
    <row r="10" spans="3:13" ht="18.75" hidden="1" customHeight="1" x14ac:dyDescent="0.15">
      <c r="C10" t="s">
        <v>106</v>
      </c>
      <c r="E10" t="s">
        <v>1246</v>
      </c>
      <c r="H10" t="s">
        <v>424</v>
      </c>
      <c r="L10" t="s">
        <v>1247</v>
      </c>
      <c r="M10">
        <v>0</v>
      </c>
    </row>
    <row r="11" spans="3:13" ht="14.25" hidden="1" customHeight="1" x14ac:dyDescent="0.15">
      <c r="M11">
        <v>0</v>
      </c>
    </row>
    <row r="12" spans="3:13" ht="14.25" hidden="1" customHeight="1" x14ac:dyDescent="0.15">
      <c r="M12">
        <v>0</v>
      </c>
    </row>
    <row r="13" spans="3:13" ht="14.65" customHeight="1" x14ac:dyDescent="0.15">
      <c r="M13">
        <v>14</v>
      </c>
    </row>
    <row r="14" spans="3:13" ht="29.25" customHeight="1" x14ac:dyDescent="0.15">
      <c r="D14" s="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
      <c r="F14" s="1"/>
      <c r="G14" s="1"/>
      <c r="H14" s="1"/>
      <c r="M14">
        <v>28</v>
      </c>
    </row>
    <row r="15" spans="3:13" ht="14.65" customHeight="1" x14ac:dyDescent="0.15">
      <c r="D15" s="1" t="str">
        <f>IF(org=0,"Не определено",org)</f>
        <v>КГУП "Примтеплоэнерго"</v>
      </c>
      <c r="E15" s="1"/>
      <c r="F15" s="1"/>
      <c r="G15" s="1"/>
      <c r="H15" s="1"/>
      <c r="M15">
        <v>14</v>
      </c>
    </row>
    <row r="16" spans="3:13" ht="14.65" customHeight="1" x14ac:dyDescent="0.15">
      <c r="M16">
        <v>14</v>
      </c>
    </row>
    <row r="17" spans="1:13" ht="14.25" hidden="1" customHeight="1" x14ac:dyDescent="0.15">
      <c r="M17">
        <v>0</v>
      </c>
    </row>
    <row r="18" spans="1:13" ht="21.95" customHeight="1" x14ac:dyDescent="0.15">
      <c r="D18" s="1" t="s">
        <v>418</v>
      </c>
      <c r="E18" s="1"/>
      <c r="F18" s="1"/>
      <c r="G18" s="1"/>
      <c r="H18" s="1"/>
      <c r="I18" s="1" t="s">
        <v>419</v>
      </c>
      <c r="M18">
        <v>21</v>
      </c>
    </row>
    <row r="19" spans="1:13" ht="21.95" customHeight="1" x14ac:dyDescent="0.15">
      <c r="D19" t="s">
        <v>90</v>
      </c>
      <c r="E19" t="s">
        <v>420</v>
      </c>
      <c r="G19" t="s">
        <v>421</v>
      </c>
      <c r="H19" t="s">
        <v>508</v>
      </c>
      <c r="I19" s="1"/>
      <c r="M19">
        <v>21</v>
      </c>
    </row>
    <row r="20" spans="1:13" ht="12" hidden="1" customHeight="1" x14ac:dyDescent="0.15">
      <c r="M20">
        <v>0</v>
      </c>
    </row>
    <row r="21" spans="1:13" ht="14.65" customHeight="1" x14ac:dyDescent="0.15">
      <c r="D21">
        <v>1</v>
      </c>
      <c r="E21" s="1" t="s">
        <v>1248</v>
      </c>
      <c r="F21" s="1"/>
      <c r="G21" s="1"/>
      <c r="H21" s="1"/>
      <c r="M21">
        <v>14</v>
      </c>
    </row>
    <row r="22" spans="1:13" ht="21" customHeight="1" x14ac:dyDescent="0.15">
      <c r="D22" t="s">
        <v>1138</v>
      </c>
      <c r="E22" t="s">
        <v>1249</v>
      </c>
      <c r="G22">
        <v>45672.526747685188</v>
      </c>
      <c r="H22" t="s">
        <v>424</v>
      </c>
      <c r="I22" t="s">
        <v>1250</v>
      </c>
      <c r="M22">
        <v>20</v>
      </c>
    </row>
    <row r="23" spans="1:13" ht="60" customHeight="1" x14ac:dyDescent="0.15">
      <c r="D23" t="s">
        <v>1140</v>
      </c>
      <c r="E23" t="s">
        <v>1251</v>
      </c>
      <c r="G23" t="s">
        <v>1252</v>
      </c>
      <c r="I23" t="s">
        <v>1253</v>
      </c>
      <c r="M23">
        <v>57</v>
      </c>
    </row>
    <row r="24" spans="1:13" ht="15" customHeight="1" x14ac:dyDescent="0.15">
      <c r="B24">
        <v>3</v>
      </c>
      <c r="D24">
        <v>2</v>
      </c>
      <c r="E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G24" t="s">
        <v>424</v>
      </c>
      <c r="H24" t="s">
        <v>1254</v>
      </c>
      <c r="I24" t="s">
        <v>748</v>
      </c>
      <c r="M24">
        <v>14</v>
      </c>
    </row>
    <row r="25" spans="1:13" ht="48.2" customHeight="1" x14ac:dyDescent="0.15">
      <c r="D25">
        <v>3</v>
      </c>
      <c r="E25" s="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
      <c r="G25" s="1"/>
      <c r="H25" s="1"/>
      <c r="M25">
        <v>46</v>
      </c>
    </row>
    <row r="26" spans="1:13" ht="15" customHeight="1" x14ac:dyDescent="0.15">
      <c r="D26" t="s">
        <v>442</v>
      </c>
      <c r="E26" t="s">
        <v>1255</v>
      </c>
      <c r="G26" t="s">
        <v>424</v>
      </c>
      <c r="H26" t="s">
        <v>1254</v>
      </c>
      <c r="I26" s="1" t="s">
        <v>1256</v>
      </c>
      <c r="M26">
        <v>14</v>
      </c>
    </row>
    <row r="27" spans="1:13" ht="15.75" customHeight="1" x14ac:dyDescent="0.15">
      <c r="A27" t="s">
        <v>101</v>
      </c>
      <c r="E27" t="s">
        <v>440</v>
      </c>
      <c r="I27" s="1"/>
      <c r="M27">
        <v>15</v>
      </c>
    </row>
    <row r="28" spans="1:13" ht="39.75" customHeight="1" x14ac:dyDescent="0.15">
      <c r="B28">
        <v>3</v>
      </c>
      <c r="D28">
        <v>4</v>
      </c>
      <c r="E28" s="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
      <c r="G28" s="1"/>
      <c r="H28" s="1"/>
      <c r="M28">
        <v>38</v>
      </c>
    </row>
    <row r="29" spans="1:13" ht="21" customHeight="1" x14ac:dyDescent="0.15">
      <c r="D29" t="s">
        <v>870</v>
      </c>
      <c r="E29" t="s">
        <v>1243</v>
      </c>
      <c r="G29" t="s">
        <v>1257</v>
      </c>
      <c r="H29" t="s">
        <v>424</v>
      </c>
      <c r="I29" s="1" t="s">
        <v>1258</v>
      </c>
      <c r="M29">
        <v>20</v>
      </c>
    </row>
    <row r="30" spans="1:13" ht="15.75" customHeight="1" x14ac:dyDescent="0.15">
      <c r="A30" t="s">
        <v>105</v>
      </c>
      <c r="E30" t="s">
        <v>440</v>
      </c>
      <c r="I30" s="1"/>
      <c r="M30">
        <v>15</v>
      </c>
    </row>
    <row r="31" spans="1:13" ht="31.5" customHeight="1" x14ac:dyDescent="0.15">
      <c r="B31">
        <v>3</v>
      </c>
      <c r="D31">
        <v>5</v>
      </c>
      <c r="E31" s="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
      <c r="G31" s="1"/>
      <c r="H31" s="1"/>
      <c r="M31">
        <v>30</v>
      </c>
    </row>
    <row r="32" spans="1:13" ht="27.4" customHeight="1" x14ac:dyDescent="0.15">
      <c r="D32" t="s">
        <v>431</v>
      </c>
      <c r="E32" s="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
      <c r="G32" s="1"/>
      <c r="H32" s="1"/>
      <c r="M32">
        <v>26</v>
      </c>
    </row>
    <row r="33" spans="1:13" ht="15" customHeight="1" x14ac:dyDescent="0.15">
      <c r="D33" t="s">
        <v>1259</v>
      </c>
      <c r="E33" t="s">
        <v>1244</v>
      </c>
      <c r="G33" t="s">
        <v>1260</v>
      </c>
      <c r="H33" t="s">
        <v>424</v>
      </c>
      <c r="I33" s="1" t="s">
        <v>1261</v>
      </c>
      <c r="M33">
        <v>14</v>
      </c>
    </row>
    <row r="34" spans="1:13" ht="15.75" customHeight="1" x14ac:dyDescent="0.15">
      <c r="A34" t="s">
        <v>92</v>
      </c>
      <c r="E34" t="s">
        <v>440</v>
      </c>
      <c r="I34" s="1"/>
      <c r="M34">
        <v>15</v>
      </c>
    </row>
    <row r="35" spans="1:13" ht="25.15" customHeight="1" x14ac:dyDescent="0.15">
      <c r="D35" t="s">
        <v>998</v>
      </c>
      <c r="E35" s="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
      <c r="G35" s="1"/>
      <c r="H35" s="1"/>
      <c r="M35">
        <v>24</v>
      </c>
    </row>
    <row r="36" spans="1:13" ht="15" customHeight="1" x14ac:dyDescent="0.15">
      <c r="D36" t="s">
        <v>1262</v>
      </c>
      <c r="E36" t="s">
        <v>1245</v>
      </c>
      <c r="G36" t="s">
        <v>1263</v>
      </c>
      <c r="H36" t="s">
        <v>424</v>
      </c>
      <c r="I36" s="1" t="s">
        <v>1264</v>
      </c>
      <c r="M36">
        <v>14</v>
      </c>
    </row>
    <row r="37" spans="1:13" ht="15.75" customHeight="1" x14ac:dyDescent="0.15">
      <c r="A37" t="s">
        <v>93</v>
      </c>
      <c r="E37" t="s">
        <v>440</v>
      </c>
      <c r="I37" s="1"/>
      <c r="M37">
        <v>15</v>
      </c>
    </row>
    <row r="38" spans="1:13" ht="27.4" customHeight="1" x14ac:dyDescent="0.15">
      <c r="D38" t="s">
        <v>999</v>
      </c>
      <c r="E38" s="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
      <c r="G38" s="1"/>
      <c r="H38" s="1"/>
      <c r="M38">
        <v>26</v>
      </c>
    </row>
    <row r="39" spans="1:13" ht="15" customHeight="1" x14ac:dyDescent="0.15">
      <c r="D39" t="s">
        <v>1000</v>
      </c>
      <c r="E39" t="s">
        <v>1246</v>
      </c>
      <c r="G39" t="s">
        <v>1265</v>
      </c>
      <c r="H39" t="s">
        <v>424</v>
      </c>
      <c r="I39" s="1" t="s">
        <v>1266</v>
      </c>
      <c r="L39" t="s">
        <v>1247</v>
      </c>
      <c r="M39">
        <v>14</v>
      </c>
    </row>
    <row r="40" spans="1:13" ht="15.75" customHeight="1" x14ac:dyDescent="0.15">
      <c r="A40" t="s">
        <v>120</v>
      </c>
      <c r="E40" t="s">
        <v>440</v>
      </c>
      <c r="I40" s="1"/>
      <c r="M40">
        <v>15</v>
      </c>
    </row>
    <row r="41" spans="1:13" ht="3" customHeight="1" x14ac:dyDescent="0.15">
      <c r="M41">
        <v>3</v>
      </c>
    </row>
    <row r="42" spans="1:13" ht="26.25" customHeight="1" x14ac:dyDescent="0.15">
      <c r="D42" t="s">
        <v>920</v>
      </c>
      <c r="E42" s="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
      <c r="G42" s="1"/>
      <c r="H42" s="1"/>
      <c r="I42" s="1"/>
      <c r="M42">
        <v>25</v>
      </c>
    </row>
    <row r="43" spans="1:13" ht="22.5" hidden="1" customHeight="1" x14ac:dyDescent="0.15">
      <c r="A43" t="s">
        <v>84</v>
      </c>
      <c r="B43">
        <v>0</v>
      </c>
      <c r="C43">
        <v>3</v>
      </c>
      <c r="D43">
        <v>6</v>
      </c>
      <c r="E43">
        <v>63</v>
      </c>
      <c r="F43">
        <v>0</v>
      </c>
      <c r="G43">
        <v>35</v>
      </c>
      <c r="H43">
        <v>35</v>
      </c>
      <c r="I43">
        <v>91</v>
      </c>
      <c r="J43">
        <v>68</v>
      </c>
      <c r="K43">
        <v>10</v>
      </c>
      <c r="L43">
        <v>10</v>
      </c>
      <c r="M4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display="https://portal.eias.ru/Portal/DownloadPage.aspx?type=12&amp;guid=3478ac39-d971-4d34-bc68-e457bc3ee73c/"/>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x14ac:dyDescent="0.15"/>
  <cols>
    <col min="1" max="2" width="25.140625" hidden="1" customWidth="1"/>
    <col min="3" max="3" width="9.140625" hidden="1" customWidth="1"/>
    <col min="4" max="4" width="3" customWidth="1"/>
    <col min="5" max="5" width="6" customWidth="1"/>
    <col min="6" max="6" width="46.7109375" customWidth="1"/>
    <col min="7" max="7" width="35" customWidth="1"/>
    <col min="8" max="8" width="3" customWidth="1"/>
    <col min="9" max="10" width="11" customWidth="1"/>
    <col min="11" max="12" width="35" customWidth="1"/>
    <col min="13" max="13" width="84" customWidth="1"/>
    <col min="14" max="33" width="10" customWidth="1"/>
    <col min="34" max="34" width="10.5703125" hidden="1"/>
  </cols>
  <sheetData>
    <row r="1" spans="1:34" ht="22.5" hidden="1" customHeight="1" x14ac:dyDescent="0.15">
      <c r="N1">
        <f>IFERROR(MATCH("метод экономически обоснованных расходов (затрат)",OFFER_METHOD,0),0)</f>
        <v>0</v>
      </c>
      <c r="AH1" t="s">
        <v>14</v>
      </c>
    </row>
    <row r="2" spans="1:34" ht="18.75" hidden="1" customHeight="1" x14ac:dyDescent="0.15">
      <c r="A2" t="s">
        <v>206</v>
      </c>
      <c r="B2" t="s">
        <v>207</v>
      </c>
      <c r="G2" s="1" t="str">
        <f>INDEX(PT_DIFFERENTIATION_NTAR,MATCH(B2,PT_DIFFERENTIATION_NTAR_ID,0))</f>
        <v/>
      </c>
      <c r="L2" t="s">
        <v>424</v>
      </c>
      <c r="AH2">
        <v>0</v>
      </c>
    </row>
    <row r="3" spans="1:34" ht="18.75" hidden="1" customHeight="1" x14ac:dyDescent="0.15">
      <c r="C3" t="s">
        <v>1267</v>
      </c>
      <c r="G3" s="1"/>
      <c r="I3" t="s">
        <v>1268</v>
      </c>
      <c r="AH3">
        <v>0</v>
      </c>
    </row>
    <row r="4" spans="1:34" ht="14.25" hidden="1" customHeight="1" x14ac:dyDescent="0.15">
      <c r="N4">
        <f>IFERROR(MATCH("метод экономически обоснованных расходов (затрат)",OFFER_METHOD,0),0)</f>
        <v>0</v>
      </c>
      <c r="AH4">
        <v>0</v>
      </c>
    </row>
    <row r="5" spans="1:34" ht="18.75" hidden="1" customHeight="1" x14ac:dyDescent="0.15">
      <c r="A5" t="s">
        <v>206</v>
      </c>
      <c r="B5" t="s">
        <v>207</v>
      </c>
      <c r="G5" s="1" t="str">
        <f>INDEX(PT_DIFFERENTIATION_NTAR,MATCH(B5,PT_DIFFERENTIATION_NTAR_ID,0))</f>
        <v/>
      </c>
      <c r="L5" t="s">
        <v>424</v>
      </c>
      <c r="AH5">
        <v>0</v>
      </c>
    </row>
    <row r="6" spans="1:34" ht="18.75" hidden="1" customHeight="1" x14ac:dyDescent="0.15">
      <c r="C6" t="s">
        <v>1269</v>
      </c>
      <c r="G6" s="1"/>
      <c r="I6" t="s">
        <v>1268</v>
      </c>
      <c r="AH6">
        <v>0</v>
      </c>
    </row>
    <row r="7" spans="1:34" ht="14.25" hidden="1" customHeight="1" x14ac:dyDescent="0.15">
      <c r="N7">
        <f>IFERROR(MATCH("метод экономически обоснованных расходов (затрат)",OFFER_METHOD,0),0)</f>
        <v>0</v>
      </c>
      <c r="AH7">
        <v>0</v>
      </c>
    </row>
    <row r="8" spans="1:34" ht="56.25" hidden="1" customHeight="1" x14ac:dyDescent="0.15">
      <c r="L8" t="s">
        <v>424</v>
      </c>
      <c r="AH8">
        <v>0</v>
      </c>
    </row>
    <row r="9" spans="1:34" ht="14.25" hidden="1" customHeight="1" x14ac:dyDescent="0.15">
      <c r="AH9">
        <v>0</v>
      </c>
    </row>
    <row r="10" spans="1:34" ht="56.25" hidden="1" customHeight="1" x14ac:dyDescent="0.15">
      <c r="L10" t="s">
        <v>424</v>
      </c>
      <c r="AH10">
        <v>0</v>
      </c>
    </row>
    <row r="11" spans="1:34" ht="14.25" hidden="1" customHeight="1" x14ac:dyDescent="0.15">
      <c r="AH11">
        <v>0</v>
      </c>
    </row>
    <row r="12" spans="1:34" ht="14.25" hidden="1" customHeight="1" x14ac:dyDescent="0.15">
      <c r="AH12">
        <v>0</v>
      </c>
    </row>
    <row r="13" spans="1:34" ht="6.4" customHeight="1" x14ac:dyDescent="0.15">
      <c r="AH13">
        <v>6</v>
      </c>
    </row>
    <row r="14" spans="1:34" ht="14.65" customHeight="1" x14ac:dyDescent="0.15">
      <c r="E14" s="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
      <c r="G14" s="1"/>
      <c r="H14" s="1"/>
      <c r="I14" s="1"/>
      <c r="J14" s="1"/>
      <c r="K14" s="1"/>
      <c r="L14" s="1"/>
      <c r="AH14">
        <v>14</v>
      </c>
    </row>
    <row r="15" spans="1:34" ht="6.4" customHeight="1" x14ac:dyDescent="0.15">
      <c r="AH15">
        <v>6</v>
      </c>
    </row>
    <row r="16" spans="1:34" ht="24" customHeight="1" x14ac:dyDescent="0.15">
      <c r="F16" t="str">
        <f>"Дата подачи заявления об "&amp;IF(TITLE_DATE_PR_CHANGE="","утверждении","изменении")&amp;" тарифов"</f>
        <v>Дата подачи заявления об изменении тарифов</v>
      </c>
      <c r="G16" s="1">
        <f>IF(TITLE_DATE_PR_CHANGE="",IF(TITLE_DATE_PR="","",TITLE_DATE_PR),TITLE_DATE_PR_CHANGE)</f>
        <v>45653.495844907404</v>
      </c>
      <c r="H16" s="1"/>
      <c r="I16" s="1"/>
      <c r="J16" s="1"/>
      <c r="K16" s="1"/>
      <c r="L16" s="1"/>
      <c r="AH16">
        <v>23</v>
      </c>
    </row>
    <row r="17" spans="1:34" ht="24" customHeight="1" x14ac:dyDescent="0.15">
      <c r="F17" t="str">
        <f>"Номер подачи заявления об "&amp;IF(TITLE_DATE_PR_CHANGE="","утверждении","изменении")&amp;" тарифов"</f>
        <v>Номер подачи заявления об изменении тарифов</v>
      </c>
      <c r="G17" s="1" t="str">
        <f>IF(TITLE_NUMBER_PR_CHANGE="",IF(TITLE_NUMBER_PR="","",TITLE_NUMBER_PR),TITLE_NUMBER_PR_CHANGE)</f>
        <v>63/2</v>
      </c>
      <c r="H17" s="1"/>
      <c r="I17" s="1"/>
      <c r="J17" s="1"/>
      <c r="K17" s="1"/>
      <c r="L17" s="1"/>
      <c r="AH17">
        <v>23</v>
      </c>
    </row>
    <row r="18" spans="1:34" ht="14.65" customHeight="1" x14ac:dyDescent="0.15">
      <c r="AH18">
        <v>14</v>
      </c>
    </row>
    <row r="19" spans="1:34" ht="21.95" customHeight="1" x14ac:dyDescent="0.15">
      <c r="E19" s="1" t="s">
        <v>418</v>
      </c>
      <c r="F19" s="1"/>
      <c r="G19" s="1"/>
      <c r="H19" s="1"/>
      <c r="I19" s="1"/>
      <c r="J19" s="1"/>
      <c r="K19" s="1"/>
      <c r="L19" s="1"/>
      <c r="M19" s="1" t="s">
        <v>419</v>
      </c>
      <c r="AH19">
        <v>21</v>
      </c>
    </row>
    <row r="20" spans="1:34" ht="21.95" customHeight="1" x14ac:dyDescent="0.15">
      <c r="E20" s="1" t="s">
        <v>90</v>
      </c>
      <c r="F20" s="1" t="s">
        <v>178</v>
      </c>
      <c r="G20" s="1" t="s">
        <v>179</v>
      </c>
      <c r="H20" s="1" t="s">
        <v>1270</v>
      </c>
      <c r="I20" s="1"/>
      <c r="J20" s="1"/>
      <c r="K20" s="1" t="s">
        <v>421</v>
      </c>
      <c r="L20" s="1" t="s">
        <v>508</v>
      </c>
      <c r="M20" s="1"/>
      <c r="AH20">
        <v>21</v>
      </c>
    </row>
    <row r="21" spans="1:34" ht="21.95" customHeight="1" x14ac:dyDescent="0.15">
      <c r="E21" s="1"/>
      <c r="F21" s="1"/>
      <c r="G21" s="1"/>
      <c r="H21" s="1" t="s">
        <v>1271</v>
      </c>
      <c r="I21" s="1"/>
      <c r="J21" t="s">
        <v>1272</v>
      </c>
      <c r="K21" s="1"/>
      <c r="L21" s="1"/>
      <c r="M21" s="1"/>
      <c r="AH21">
        <v>21</v>
      </c>
    </row>
    <row r="22" spans="1:34" ht="12.75" customHeight="1" x14ac:dyDescent="0.15">
      <c r="H22" s="1"/>
      <c r="I22" s="1"/>
      <c r="AH22">
        <v>12</v>
      </c>
    </row>
    <row r="23" spans="1:34" ht="19.899999999999999" customHeight="1" x14ac:dyDescent="0.15">
      <c r="E23" t="s">
        <v>101</v>
      </c>
      <c r="F23" s="1" t="str">
        <f>"Предлагаемый метод регулирования"&amp;IF(TEMPLATE_SPHERE="HEAT"," в сфере "&amp;TEMPLATE_SPHERE_RUS,"")</f>
        <v>Предлагаемый метод регулирования</v>
      </c>
      <c r="G23" s="1"/>
      <c r="H23" s="1"/>
      <c r="I23" s="1"/>
      <c r="J23" s="1"/>
      <c r="K23" s="1" t="s">
        <v>424</v>
      </c>
      <c r="L23" s="1"/>
      <c r="AH23">
        <v>19</v>
      </c>
    </row>
    <row r="24" spans="1:34" ht="60.75" hidden="1" customHeight="1" x14ac:dyDescent="0.15">
      <c r="A24" t="s">
        <v>206</v>
      </c>
      <c r="B24" t="s">
        <v>207</v>
      </c>
      <c r="D24" s="1"/>
      <c r="E24" s="1"/>
      <c r="F24" s="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 t="str">
        <f>INDEX(PT_DIFFERENTIATION_NTAR,MATCH(B24,PT_DIFFERENTIATION_NTAR_ID,0))</f>
        <v/>
      </c>
      <c r="L24" t="s">
        <v>424</v>
      </c>
      <c r="M24"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v>0</v>
      </c>
    </row>
    <row r="25" spans="1:34" ht="18.75" hidden="1" customHeight="1" x14ac:dyDescent="0.15">
      <c r="C25" t="s">
        <v>1267</v>
      </c>
      <c r="D25" s="1"/>
      <c r="E25" s="1"/>
      <c r="F25" s="1"/>
      <c r="G25" s="1"/>
      <c r="I25" t="s">
        <v>1268</v>
      </c>
      <c r="M25" s="1"/>
      <c r="AH25">
        <v>0</v>
      </c>
    </row>
    <row r="26" spans="1:34" ht="0.75" hidden="1" customHeight="1" x14ac:dyDescent="0.15">
      <c r="C26" t="s">
        <v>1273</v>
      </c>
      <c r="D26" s="1"/>
      <c r="E26" s="1"/>
      <c r="F26" s="1"/>
      <c r="M26" s="1"/>
      <c r="AH26">
        <v>0</v>
      </c>
    </row>
    <row r="27" spans="1:34" ht="45" hidden="1" customHeight="1" x14ac:dyDescent="0.15">
      <c r="A27" t="s">
        <v>211</v>
      </c>
      <c r="B27" t="s">
        <v>212</v>
      </c>
      <c r="D27" s="1"/>
      <c r="E27" s="1"/>
      <c r="F27" s="1" t="str">
        <f>INDEX(PT_DIFFERENTIATION_VTAR,MATCH(A27,PT_DIFFERENTIATION_VTAR_ID,0))</f>
        <v/>
      </c>
      <c r="G27" s="1" t="str">
        <f>INDEX(PT_DIFFERENTIATION_NTAR,MATCH(B27,PT_DIFFERENTIATION_NTAR_ID,0))</f>
        <v/>
      </c>
      <c r="L27" t="s">
        <v>424</v>
      </c>
      <c r="M27" s="1"/>
      <c r="AH27">
        <v>0</v>
      </c>
    </row>
    <row r="28" spans="1:34" ht="18.75" hidden="1" customHeight="1" x14ac:dyDescent="0.15">
      <c r="C28" t="s">
        <v>1267</v>
      </c>
      <c r="D28" s="1"/>
      <c r="E28" s="1"/>
      <c r="F28" s="1"/>
      <c r="G28" s="1"/>
      <c r="I28" t="s">
        <v>1268</v>
      </c>
      <c r="M28" s="1"/>
      <c r="AH28">
        <v>0</v>
      </c>
    </row>
    <row r="29" spans="1:34" ht="0.75" hidden="1" customHeight="1" x14ac:dyDescent="0.15">
      <c r="C29" t="s">
        <v>1273</v>
      </c>
      <c r="D29" s="1"/>
      <c r="E29" s="1"/>
      <c r="F29" s="1"/>
      <c r="M29" s="1"/>
      <c r="AH29">
        <v>0</v>
      </c>
    </row>
    <row r="30" spans="1:34" ht="45" hidden="1" customHeight="1" x14ac:dyDescent="0.15">
      <c r="A30" t="s">
        <v>218</v>
      </c>
      <c r="B30" t="s">
        <v>219</v>
      </c>
      <c r="D30" s="1"/>
      <c r="E30" s="1"/>
      <c r="F30" s="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 t="str">
        <f>INDEX(PT_DIFFERENTIATION_NTAR,MATCH(B30,PT_DIFFERENTIATION_NTAR_ID,0))</f>
        <v/>
      </c>
      <c r="L30" t="s">
        <v>424</v>
      </c>
      <c r="M30" s="1"/>
      <c r="AH30">
        <v>0</v>
      </c>
    </row>
    <row r="31" spans="1:34" ht="18.75" hidden="1" customHeight="1" x14ac:dyDescent="0.15">
      <c r="C31" t="s">
        <v>1267</v>
      </c>
      <c r="D31" s="1"/>
      <c r="E31" s="1"/>
      <c r="F31" s="1"/>
      <c r="G31" s="1"/>
      <c r="I31" t="s">
        <v>1268</v>
      </c>
      <c r="M31" s="1"/>
      <c r="AH31">
        <v>0</v>
      </c>
    </row>
    <row r="32" spans="1:34" ht="0.75" hidden="1" customHeight="1" x14ac:dyDescent="0.15">
      <c r="C32" t="s">
        <v>1273</v>
      </c>
      <c r="D32" s="1"/>
      <c r="E32" s="1"/>
      <c r="F32" s="1"/>
      <c r="M32" s="1"/>
      <c r="AH32">
        <v>0</v>
      </c>
    </row>
    <row r="33" spans="1:34" ht="45" hidden="1" customHeight="1" x14ac:dyDescent="0.15">
      <c r="A33" t="s">
        <v>224</v>
      </c>
      <c r="B33" t="s">
        <v>225</v>
      </c>
      <c r="D33" s="1"/>
      <c r="E33" s="1"/>
      <c r="F33" s="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 t="str">
        <f>INDEX(PT_DIFFERENTIATION_NTAR,MATCH(B33,PT_DIFFERENTIATION_NTAR_ID,0))</f>
        <v/>
      </c>
      <c r="L33" t="s">
        <v>424</v>
      </c>
      <c r="M33" s="1"/>
      <c r="AH33">
        <v>0</v>
      </c>
    </row>
    <row r="34" spans="1:34" ht="18.75" hidden="1" customHeight="1" x14ac:dyDescent="0.15">
      <c r="C34" t="s">
        <v>1267</v>
      </c>
      <c r="D34" s="1"/>
      <c r="E34" s="1"/>
      <c r="F34" s="1"/>
      <c r="G34" s="1"/>
      <c r="I34" t="s">
        <v>1268</v>
      </c>
      <c r="M34" s="1"/>
      <c r="AH34">
        <v>0</v>
      </c>
    </row>
    <row r="35" spans="1:34" ht="0.75" hidden="1" customHeight="1" x14ac:dyDescent="0.15">
      <c r="C35" t="s">
        <v>1273</v>
      </c>
      <c r="D35" s="1"/>
      <c r="E35" s="1"/>
      <c r="F35" s="1"/>
      <c r="M35" s="1"/>
      <c r="AH35">
        <v>0</v>
      </c>
    </row>
    <row r="36" spans="1:34" ht="18.75" hidden="1" customHeight="1" x14ac:dyDescent="0.15">
      <c r="A36" t="s">
        <v>230</v>
      </c>
      <c r="B36" t="s">
        <v>231</v>
      </c>
      <c r="D36" s="1"/>
      <c r="E36" s="1"/>
      <c r="F36" s="1" t="str">
        <f>INDEX(PT_DIFFERENTIATION_VTAR,MATCH(A36,PT_DIFFERENTIATION_VTAR_ID,0))</f>
        <v>Тарифы на услуги по передаче тепловой энергии</v>
      </c>
      <c r="G36" s="1" t="str">
        <f>INDEX(PT_DIFFERENTIATION_NTAR,MATCH(B36,PT_DIFFERENTIATION_NTAR_ID,0))</f>
        <v/>
      </c>
      <c r="L36" t="s">
        <v>424</v>
      </c>
      <c r="M36" s="1"/>
      <c r="AH36">
        <v>0</v>
      </c>
    </row>
    <row r="37" spans="1:34" ht="18.75" hidden="1" customHeight="1" x14ac:dyDescent="0.15">
      <c r="C37" t="s">
        <v>1267</v>
      </c>
      <c r="D37" s="1"/>
      <c r="E37" s="1"/>
      <c r="F37" s="1"/>
      <c r="G37" s="1"/>
      <c r="I37" t="s">
        <v>1268</v>
      </c>
      <c r="M37" s="1"/>
      <c r="AH37">
        <v>0</v>
      </c>
    </row>
    <row r="38" spans="1:34" ht="0.75" hidden="1" customHeight="1" x14ac:dyDescent="0.15">
      <c r="C38" t="s">
        <v>1273</v>
      </c>
      <c r="D38" s="1"/>
      <c r="E38" s="1"/>
      <c r="F38" s="1"/>
      <c r="M38" s="1"/>
      <c r="AH38">
        <v>0</v>
      </c>
    </row>
    <row r="39" spans="1:34" ht="18.75" hidden="1" customHeight="1" x14ac:dyDescent="0.15">
      <c r="A39" t="s">
        <v>236</v>
      </c>
      <c r="B39" t="s">
        <v>237</v>
      </c>
      <c r="D39" s="1"/>
      <c r="E39" s="1"/>
      <c r="F39" s="1" t="str">
        <f>INDEX(PT_DIFFERENTIATION_VTAR,MATCH(A39,PT_DIFFERENTIATION_VTAR_ID,0))</f>
        <v>Тарифы на услуги по передаче теплоносителя</v>
      </c>
      <c r="G39" s="1" t="str">
        <f>INDEX(PT_DIFFERENTIATION_NTAR,MATCH(B39,PT_DIFFERENTIATION_NTAR_ID,0))</f>
        <v/>
      </c>
      <c r="L39" t="s">
        <v>424</v>
      </c>
      <c r="M39" s="1"/>
      <c r="AH39">
        <v>0</v>
      </c>
    </row>
    <row r="40" spans="1:34" ht="18.75" hidden="1" customHeight="1" x14ac:dyDescent="0.15">
      <c r="C40" t="s">
        <v>1267</v>
      </c>
      <c r="D40" s="1"/>
      <c r="E40" s="1"/>
      <c r="F40" s="1"/>
      <c r="G40" s="1"/>
      <c r="I40" t="s">
        <v>1268</v>
      </c>
      <c r="M40" s="1"/>
      <c r="AH40">
        <v>0</v>
      </c>
    </row>
    <row r="41" spans="1:34" ht="0.75" hidden="1" customHeight="1" x14ac:dyDescent="0.15">
      <c r="C41" t="s">
        <v>1273</v>
      </c>
      <c r="D41" s="1"/>
      <c r="E41" s="1"/>
      <c r="F41" s="1"/>
      <c r="M41" s="1"/>
      <c r="AH41">
        <v>0</v>
      </c>
    </row>
    <row r="42" spans="1:34" ht="18.75" hidden="1" customHeight="1" x14ac:dyDescent="0.15">
      <c r="A42" t="s">
        <v>242</v>
      </c>
      <c r="B42" t="s">
        <v>243</v>
      </c>
      <c r="D42" s="1"/>
      <c r="E42" s="1"/>
      <c r="F42" s="1" t="str">
        <f>INDEX(PT_DIFFERENTIATION_VTAR,MATCH(A42,PT_DIFFERENTIATION_VTAR_ID,0))</f>
        <v>Плата за услуги по поддержанию резервной тепловой мощности при отсутствии потребления тепловой энергии</v>
      </c>
      <c r="G42" s="1" t="str">
        <f>INDEX(PT_DIFFERENTIATION_NTAR,MATCH(B42,PT_DIFFERENTIATION_NTAR_ID,0))</f>
        <v/>
      </c>
      <c r="L42" t="s">
        <v>424</v>
      </c>
      <c r="M42" s="1"/>
      <c r="AH42">
        <v>0</v>
      </c>
    </row>
    <row r="43" spans="1:34" ht="18.75" hidden="1" customHeight="1" x14ac:dyDescent="0.15">
      <c r="C43" t="s">
        <v>1267</v>
      </c>
      <c r="D43" s="1"/>
      <c r="E43" s="1"/>
      <c r="F43" s="1"/>
      <c r="G43" s="1"/>
      <c r="I43" t="s">
        <v>1268</v>
      </c>
      <c r="M43" s="1"/>
      <c r="AH43">
        <v>0</v>
      </c>
    </row>
    <row r="44" spans="1:34" ht="0.75" hidden="1" customHeight="1" x14ac:dyDescent="0.15">
      <c r="C44" t="s">
        <v>1273</v>
      </c>
      <c r="D44" s="1"/>
      <c r="E44" s="1"/>
      <c r="F44" s="1"/>
      <c r="M44" s="1"/>
      <c r="AH44">
        <v>0</v>
      </c>
    </row>
    <row r="45" spans="1:34" ht="18.75" hidden="1" customHeight="1" x14ac:dyDescent="0.15">
      <c r="A45" t="s">
        <v>248</v>
      </c>
      <c r="B45" t="s">
        <v>249</v>
      </c>
      <c r="D45" s="1"/>
      <c r="E45" s="1"/>
      <c r="F45" s="1" t="str">
        <f>INDEX(PT_DIFFERENTIATION_VTAR,MATCH(A45,PT_DIFFERENTIATION_VTAR_ID,0))</f>
        <v>Плата за подключение (технологическое присоединение) к системе теплоснабжения</v>
      </c>
      <c r="G45" s="1" t="str">
        <f>INDEX(PT_DIFFERENTIATION_NTAR,MATCH(B45,PT_DIFFERENTIATION_NTAR_ID,0))</f>
        <v/>
      </c>
      <c r="L45" t="s">
        <v>424</v>
      </c>
      <c r="M45" s="1"/>
      <c r="AH45">
        <v>0</v>
      </c>
    </row>
    <row r="46" spans="1:34" ht="18.75" hidden="1" customHeight="1" x14ac:dyDescent="0.15">
      <c r="C46" t="s">
        <v>1267</v>
      </c>
      <c r="D46" s="1"/>
      <c r="E46" s="1"/>
      <c r="F46" s="1"/>
      <c r="G46" s="1"/>
      <c r="I46" t="s">
        <v>1268</v>
      </c>
      <c r="M46" s="1"/>
      <c r="AH46">
        <v>0</v>
      </c>
    </row>
    <row r="47" spans="1:34" ht="0.75" hidden="1" customHeight="1" x14ac:dyDescent="0.15">
      <c r="C47" t="s">
        <v>1273</v>
      </c>
      <c r="D47" s="1"/>
      <c r="E47" s="1"/>
      <c r="F47" s="1"/>
      <c r="M47" s="1"/>
      <c r="AH47">
        <v>0</v>
      </c>
    </row>
    <row r="48" spans="1:34" ht="18.75" hidden="1" customHeight="1" x14ac:dyDescent="0.15">
      <c r="A48" t="s">
        <v>254</v>
      </c>
      <c r="B48" t="s">
        <v>255</v>
      </c>
      <c r="D48" s="1"/>
      <c r="E48" s="1"/>
      <c r="F48" s="1" t="str">
        <f>INDEX(PT_DIFFERENTIATION_VTAR,MATCH(A48,PT_DIFFERENTIATION_VTAR_ID,0))</f>
        <v>Плата за подключение (технологическое присоединение) к системе теплоснабжения (индивидуальная)</v>
      </c>
      <c r="G48" s="1" t="str">
        <f>INDEX(PT_DIFFERENTIATION_NTAR,MATCH(B48,PT_DIFFERENTIATION_NTAR_ID,0))</f>
        <v/>
      </c>
      <c r="L48" t="s">
        <v>424</v>
      </c>
      <c r="M48" s="1"/>
      <c r="AH48">
        <v>0</v>
      </c>
    </row>
    <row r="49" spans="1:34" ht="18.75" hidden="1" customHeight="1" x14ac:dyDescent="0.15">
      <c r="C49" t="s">
        <v>1267</v>
      </c>
      <c r="D49" s="1"/>
      <c r="E49" s="1"/>
      <c r="F49" s="1"/>
      <c r="G49" s="1"/>
      <c r="I49" t="s">
        <v>1268</v>
      </c>
      <c r="M49" s="1"/>
      <c r="AH49">
        <v>0</v>
      </c>
    </row>
    <row r="50" spans="1:34" ht="0.75" hidden="1" customHeight="1" x14ac:dyDescent="0.15">
      <c r="C50" t="s">
        <v>1273</v>
      </c>
      <c r="D50" s="1"/>
      <c r="E50" s="1"/>
      <c r="F50" s="1"/>
      <c r="M50" s="1"/>
      <c r="AH50">
        <v>0</v>
      </c>
    </row>
    <row r="51" spans="1:34" ht="18.75" hidden="1" customHeight="1" x14ac:dyDescent="0.15">
      <c r="A51" t="s">
        <v>274</v>
      </c>
      <c r="B51" t="s">
        <v>275</v>
      </c>
      <c r="D51" s="1"/>
      <c r="E51" s="1"/>
      <c r="F51" s="1" t="str">
        <f>INDEX(PT_DIFFERENTIATION_VTAR,MATCH(A51,PT_DIFFERENTIATION_VTAR_ID,0))</f>
        <v>Тариф на питьевую воду (питьевое водоснабжение)</v>
      </c>
      <c r="G51" s="1" t="str">
        <f>INDEX(PT_DIFFERENTIATION_NTAR,MATCH(B51,PT_DIFFERENTIATION_NTAR_ID,0))</f>
        <v/>
      </c>
      <c r="L51" t="s">
        <v>424</v>
      </c>
      <c r="M51" s="1"/>
      <c r="AH51">
        <v>0</v>
      </c>
    </row>
    <row r="52" spans="1:34" ht="18.75" hidden="1" customHeight="1" x14ac:dyDescent="0.15">
      <c r="C52" t="s">
        <v>1267</v>
      </c>
      <c r="D52" s="1"/>
      <c r="E52" s="1"/>
      <c r="F52" s="1"/>
      <c r="G52" s="1"/>
      <c r="I52" t="s">
        <v>1268</v>
      </c>
      <c r="M52" s="1"/>
      <c r="AH52">
        <v>0</v>
      </c>
    </row>
    <row r="53" spans="1:34" ht="0.75" hidden="1" customHeight="1" x14ac:dyDescent="0.15">
      <c r="C53" t="s">
        <v>1273</v>
      </c>
      <c r="D53" s="1"/>
      <c r="E53" s="1"/>
      <c r="F53" s="1"/>
      <c r="M53" s="1"/>
      <c r="AH53">
        <v>0</v>
      </c>
    </row>
    <row r="54" spans="1:34" ht="18.75" hidden="1" customHeight="1" x14ac:dyDescent="0.15">
      <c r="A54" t="s">
        <v>279</v>
      </c>
      <c r="B54" t="s">
        <v>280</v>
      </c>
      <c r="D54" s="1"/>
      <c r="E54" s="1"/>
      <c r="F54" s="1" t="str">
        <f>INDEX(PT_DIFFERENTIATION_VTAR,MATCH(A54,PT_DIFFERENTIATION_VTAR_ID,0))</f>
        <v>Тариф на техническую воду</v>
      </c>
      <c r="G54" s="1" t="str">
        <f>INDEX(PT_DIFFERENTIATION_NTAR,MATCH(B54,PT_DIFFERENTIATION_NTAR_ID,0))</f>
        <v/>
      </c>
      <c r="L54" t="s">
        <v>424</v>
      </c>
      <c r="M54" s="1"/>
      <c r="AH54">
        <v>0</v>
      </c>
    </row>
    <row r="55" spans="1:34" ht="18.75" hidden="1" customHeight="1" x14ac:dyDescent="0.15">
      <c r="C55" t="s">
        <v>1267</v>
      </c>
      <c r="D55" s="1"/>
      <c r="E55" s="1"/>
      <c r="F55" s="1"/>
      <c r="G55" s="1"/>
      <c r="I55" t="s">
        <v>1268</v>
      </c>
      <c r="M55" s="1"/>
      <c r="AH55">
        <v>0</v>
      </c>
    </row>
    <row r="56" spans="1:34" ht="0.75" hidden="1" customHeight="1" x14ac:dyDescent="0.15">
      <c r="C56" t="s">
        <v>1273</v>
      </c>
      <c r="D56" s="1"/>
      <c r="E56" s="1"/>
      <c r="F56" s="1"/>
      <c r="M56" s="1"/>
      <c r="AH56">
        <v>0</v>
      </c>
    </row>
    <row r="57" spans="1:34" ht="18.75" hidden="1" customHeight="1" x14ac:dyDescent="0.15">
      <c r="A57" t="s">
        <v>284</v>
      </c>
      <c r="B57" t="s">
        <v>285</v>
      </c>
      <c r="D57" s="1"/>
      <c r="E57" s="1"/>
      <c r="F57" s="1" t="str">
        <f>INDEX(PT_DIFFERENTIATION_VTAR,MATCH(A57,PT_DIFFERENTIATION_VTAR_ID,0))</f>
        <v>Тариф на транспортировку воды</v>
      </c>
      <c r="G57" s="1" t="str">
        <f>INDEX(PT_DIFFERENTIATION_NTAR,MATCH(B57,PT_DIFFERENTIATION_NTAR_ID,0))</f>
        <v/>
      </c>
      <c r="L57" t="s">
        <v>424</v>
      </c>
      <c r="M57" s="1"/>
      <c r="AH57">
        <v>0</v>
      </c>
    </row>
    <row r="58" spans="1:34" ht="18.75" hidden="1" customHeight="1" x14ac:dyDescent="0.15">
      <c r="C58" t="s">
        <v>1267</v>
      </c>
      <c r="D58" s="1"/>
      <c r="E58" s="1"/>
      <c r="F58" s="1"/>
      <c r="G58" s="1"/>
      <c r="I58" t="s">
        <v>1268</v>
      </c>
      <c r="M58" s="1"/>
      <c r="AH58">
        <v>0</v>
      </c>
    </row>
    <row r="59" spans="1:34" ht="0.75" hidden="1" customHeight="1" x14ac:dyDescent="0.15">
      <c r="C59" t="s">
        <v>1273</v>
      </c>
      <c r="D59" s="1"/>
      <c r="E59" s="1"/>
      <c r="F59" s="1"/>
      <c r="M59" s="1"/>
      <c r="AH59">
        <v>0</v>
      </c>
    </row>
    <row r="60" spans="1:34" ht="18.75" hidden="1" customHeight="1" x14ac:dyDescent="0.15">
      <c r="A60" t="s">
        <v>289</v>
      </c>
      <c r="B60" t="s">
        <v>290</v>
      </c>
      <c r="D60" s="1"/>
      <c r="E60" s="1"/>
      <c r="F60" s="1" t="str">
        <f>INDEX(PT_DIFFERENTIATION_VTAR,MATCH(A60,PT_DIFFERENTIATION_VTAR_ID,0))</f>
        <v>Тариф на подвоз воды</v>
      </c>
      <c r="G60" s="1" t="str">
        <f>INDEX(PT_DIFFERENTIATION_NTAR,MATCH(B60,PT_DIFFERENTIATION_NTAR_ID,0))</f>
        <v/>
      </c>
      <c r="L60" t="s">
        <v>424</v>
      </c>
      <c r="M60" s="1"/>
      <c r="AH60">
        <v>0</v>
      </c>
    </row>
    <row r="61" spans="1:34" ht="18.75" hidden="1" customHeight="1" x14ac:dyDescent="0.15">
      <c r="C61" t="s">
        <v>1267</v>
      </c>
      <c r="D61" s="1"/>
      <c r="E61" s="1"/>
      <c r="F61" s="1"/>
      <c r="G61" s="1"/>
      <c r="I61" t="s">
        <v>1268</v>
      </c>
      <c r="M61" s="1"/>
      <c r="AH61">
        <v>0</v>
      </c>
    </row>
    <row r="62" spans="1:34" ht="0.75" hidden="1" customHeight="1" x14ac:dyDescent="0.15">
      <c r="C62" t="s">
        <v>1273</v>
      </c>
      <c r="D62" s="1"/>
      <c r="E62" s="1"/>
      <c r="F62" s="1"/>
      <c r="M62" s="1"/>
      <c r="AH62">
        <v>0</v>
      </c>
    </row>
    <row r="63" spans="1:34" ht="18.75" hidden="1" customHeight="1" x14ac:dyDescent="0.15">
      <c r="A63" t="s">
        <v>294</v>
      </c>
      <c r="B63" t="s">
        <v>295</v>
      </c>
      <c r="D63" s="1"/>
      <c r="E63" s="1"/>
      <c r="F63" s="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 t="str">
        <f>INDEX(PT_DIFFERENTIATION_NTAR,MATCH(B63,PT_DIFFERENTIATION_NTAR_ID,0))</f>
        <v/>
      </c>
      <c r="L63" t="s">
        <v>424</v>
      </c>
      <c r="M63" s="1"/>
      <c r="AH63">
        <v>0</v>
      </c>
    </row>
    <row r="64" spans="1:34" ht="18.75" hidden="1" customHeight="1" x14ac:dyDescent="0.15">
      <c r="C64" t="s">
        <v>1267</v>
      </c>
      <c r="D64" s="1"/>
      <c r="E64" s="1"/>
      <c r="F64" s="1"/>
      <c r="G64" s="1"/>
      <c r="I64" t="s">
        <v>1268</v>
      </c>
      <c r="M64" s="1"/>
      <c r="AH64">
        <v>0</v>
      </c>
    </row>
    <row r="65" spans="1:34" ht="0.75" hidden="1" customHeight="1" x14ac:dyDescent="0.15">
      <c r="C65" t="s">
        <v>1273</v>
      </c>
      <c r="D65" s="1"/>
      <c r="E65" s="1"/>
      <c r="F65" s="1"/>
      <c r="M65" s="1"/>
      <c r="AH65">
        <v>0</v>
      </c>
    </row>
    <row r="66" spans="1:34" ht="18.75" hidden="1" customHeight="1" x14ac:dyDescent="0.15">
      <c r="A66" t="s">
        <v>299</v>
      </c>
      <c r="B66" t="s">
        <v>300</v>
      </c>
      <c r="D66" s="1"/>
      <c r="E66" s="1"/>
      <c r="F66" s="1" t="str">
        <f>INDEX(PT_DIFFERENTIATION_VTAR,MATCH(A66,PT_DIFFERENTIATION_VTAR_ID,0))</f>
        <v>Тариф на горячую воду (горячее водоснабжение)</v>
      </c>
      <c r="G66" s="1" t="str">
        <f>INDEX(PT_DIFFERENTIATION_NTAR,MATCH(B66,PT_DIFFERENTIATION_NTAR_ID,0))</f>
        <v/>
      </c>
      <c r="L66" t="s">
        <v>424</v>
      </c>
      <c r="M66" s="1"/>
      <c r="AH66">
        <v>0</v>
      </c>
    </row>
    <row r="67" spans="1:34" ht="18.75" hidden="1" customHeight="1" x14ac:dyDescent="0.15">
      <c r="C67" t="s">
        <v>1267</v>
      </c>
      <c r="D67" s="1"/>
      <c r="E67" s="1"/>
      <c r="F67" s="1"/>
      <c r="G67" s="1"/>
      <c r="I67" t="s">
        <v>1268</v>
      </c>
      <c r="M67" s="1"/>
      <c r="AH67">
        <v>0</v>
      </c>
    </row>
    <row r="68" spans="1:34" ht="0.75" hidden="1" customHeight="1" x14ac:dyDescent="0.15">
      <c r="C68" t="s">
        <v>1273</v>
      </c>
      <c r="D68" s="1"/>
      <c r="E68" s="1"/>
      <c r="F68" s="1"/>
      <c r="M68" s="1"/>
      <c r="AH68">
        <v>0</v>
      </c>
    </row>
    <row r="69" spans="1:34" ht="18.75" hidden="1" customHeight="1" x14ac:dyDescent="0.15">
      <c r="A69" t="s">
        <v>304</v>
      </c>
      <c r="B69" t="s">
        <v>305</v>
      </c>
      <c r="D69" s="1"/>
      <c r="E69" s="1"/>
      <c r="F69" s="1" t="str">
        <f>INDEX(PT_DIFFERENTIATION_VTAR,MATCH(A69,PT_DIFFERENTIATION_VTAR_ID,0))</f>
        <v>Тариф на транспортировку горячей воды</v>
      </c>
      <c r="G69" s="1" t="str">
        <f>INDEX(PT_DIFFERENTIATION_NTAR,MATCH(B69,PT_DIFFERENTIATION_NTAR_ID,0))</f>
        <v/>
      </c>
      <c r="L69" t="s">
        <v>424</v>
      </c>
      <c r="M69" s="1"/>
      <c r="AH69">
        <v>0</v>
      </c>
    </row>
    <row r="70" spans="1:34" ht="18.75" hidden="1" customHeight="1" x14ac:dyDescent="0.15">
      <c r="C70" t="s">
        <v>1267</v>
      </c>
      <c r="D70" s="1"/>
      <c r="E70" s="1"/>
      <c r="F70" s="1"/>
      <c r="G70" s="1"/>
      <c r="I70" t="s">
        <v>1268</v>
      </c>
      <c r="M70" s="1"/>
      <c r="AH70">
        <v>0</v>
      </c>
    </row>
    <row r="71" spans="1:34" ht="0.75" hidden="1" customHeight="1" x14ac:dyDescent="0.15">
      <c r="C71" t="s">
        <v>1273</v>
      </c>
      <c r="D71" s="1"/>
      <c r="E71" s="1"/>
      <c r="F71" s="1"/>
      <c r="M71" s="1"/>
      <c r="AH71">
        <v>0</v>
      </c>
    </row>
    <row r="72" spans="1:34" ht="18.75" hidden="1" customHeight="1" x14ac:dyDescent="0.15">
      <c r="A72" t="s">
        <v>309</v>
      </c>
      <c r="B72" t="s">
        <v>310</v>
      </c>
      <c r="D72" s="1"/>
      <c r="E72" s="1"/>
      <c r="F72" s="1" t="str">
        <f>INDEX(PT_DIFFERENTIATION_VTAR,MATCH(A72,PT_DIFFERENTIATION_VTAR_ID,0))</f>
        <v>Тариф на подключение (технологическое присоединение) к централизованной системе горячего водоснабжения</v>
      </c>
      <c r="G72" s="1" t="str">
        <f>INDEX(PT_DIFFERENTIATION_NTAR,MATCH(B72,PT_DIFFERENTIATION_NTAR_ID,0))</f>
        <v/>
      </c>
      <c r="L72" t="s">
        <v>424</v>
      </c>
      <c r="M72" s="1"/>
      <c r="AH72">
        <v>0</v>
      </c>
    </row>
    <row r="73" spans="1:34" ht="18.75" hidden="1" customHeight="1" x14ac:dyDescent="0.15">
      <c r="C73" t="s">
        <v>1267</v>
      </c>
      <c r="D73" s="1"/>
      <c r="E73" s="1"/>
      <c r="F73" s="1"/>
      <c r="G73" s="1"/>
      <c r="I73" t="s">
        <v>1268</v>
      </c>
      <c r="M73" s="1"/>
      <c r="AH73">
        <v>0</v>
      </c>
    </row>
    <row r="74" spans="1:34" ht="0.75" hidden="1" customHeight="1" x14ac:dyDescent="0.15">
      <c r="C74" t="s">
        <v>1273</v>
      </c>
      <c r="D74" s="1"/>
      <c r="E74" s="1"/>
      <c r="F74" s="1"/>
      <c r="M74" s="1"/>
      <c r="AH74">
        <v>0</v>
      </c>
    </row>
    <row r="75" spans="1:34" ht="18.75" hidden="1" customHeight="1" x14ac:dyDescent="0.15">
      <c r="A75" t="s">
        <v>317</v>
      </c>
      <c r="B75" t="s">
        <v>318</v>
      </c>
      <c r="D75" s="1"/>
      <c r="E75" s="1"/>
      <c r="F75" s="1" t="str">
        <f>INDEX(PT_DIFFERENTIATION_VTAR,MATCH(A75,PT_DIFFERENTIATION_VTAR_ID,0))</f>
        <v>Тариф на водоотведение</v>
      </c>
      <c r="G75" s="1" t="str">
        <f>INDEX(PT_DIFFERENTIATION_NTAR,MATCH(B75,PT_DIFFERENTIATION_NTAR_ID,0))</f>
        <v>Тариф на водоотведение для потребителей КГУП "Примтеплоэнерго"</v>
      </c>
      <c r="L75" t="s">
        <v>424</v>
      </c>
      <c r="M75" s="1"/>
      <c r="AH75">
        <v>0</v>
      </c>
    </row>
    <row r="76" spans="1:34" ht="18.75" hidden="1" customHeight="1" x14ac:dyDescent="0.15">
      <c r="C76" t="s">
        <v>1267</v>
      </c>
      <c r="D76" s="1"/>
      <c r="E76" s="1"/>
      <c r="F76" s="1"/>
      <c r="G76" s="1"/>
      <c r="I76" t="s">
        <v>1268</v>
      </c>
      <c r="M76" s="1"/>
      <c r="AH76">
        <v>0</v>
      </c>
    </row>
    <row r="77" spans="1:34" ht="0.75" hidden="1" customHeight="1" x14ac:dyDescent="0.15">
      <c r="C77" t="s">
        <v>1273</v>
      </c>
      <c r="D77" s="1"/>
      <c r="E77" s="1"/>
      <c r="F77" s="1"/>
      <c r="M77" s="1"/>
      <c r="AH77">
        <v>0</v>
      </c>
    </row>
    <row r="78" spans="1:34" ht="18.75" hidden="1" customHeight="1" x14ac:dyDescent="0.15">
      <c r="A78" t="s">
        <v>388</v>
      </c>
      <c r="B78" t="s">
        <v>389</v>
      </c>
      <c r="D78" s="1"/>
      <c r="E78" s="1"/>
      <c r="F78" s="1" t="str">
        <f>INDEX(PT_DIFFERENTIATION_VTAR,MATCH(A78,PT_DIFFERENTIATION_VTAR_ID,0))</f>
        <v>Тариф на транспортировку сточных вод</v>
      </c>
      <c r="G78" s="1" t="str">
        <f>INDEX(PT_DIFFERENTIATION_NTAR,MATCH(B78,PT_DIFFERENTIATION_NTAR_ID,0))</f>
        <v/>
      </c>
      <c r="L78" t="s">
        <v>424</v>
      </c>
      <c r="M78" s="1"/>
      <c r="AH78">
        <v>0</v>
      </c>
    </row>
    <row r="79" spans="1:34" ht="18.75" hidden="1" customHeight="1" x14ac:dyDescent="0.15">
      <c r="C79" t="s">
        <v>1267</v>
      </c>
      <c r="D79" s="1"/>
      <c r="E79" s="1"/>
      <c r="F79" s="1"/>
      <c r="G79" s="1"/>
      <c r="I79" t="s">
        <v>1268</v>
      </c>
      <c r="M79" s="1"/>
      <c r="AH79">
        <v>0</v>
      </c>
    </row>
    <row r="80" spans="1:34" ht="0.75" hidden="1" customHeight="1" x14ac:dyDescent="0.15">
      <c r="C80" t="s">
        <v>1273</v>
      </c>
      <c r="D80" s="1"/>
      <c r="E80" s="1"/>
      <c r="F80" s="1"/>
      <c r="M80" s="1"/>
      <c r="AH80">
        <v>0</v>
      </c>
    </row>
    <row r="81" spans="1:34" ht="18.75" hidden="1" customHeight="1" x14ac:dyDescent="0.15">
      <c r="A81" t="s">
        <v>393</v>
      </c>
      <c r="B81" t="s">
        <v>394</v>
      </c>
      <c r="D81" s="1"/>
      <c r="E81" s="1"/>
      <c r="F81" s="1" t="str">
        <f>INDEX(PT_DIFFERENTIATION_VTAR,MATCH(A81,PT_DIFFERENTIATION_VTAR_ID,0))</f>
        <v>Тариф на подключение (технологическое присоединение) к централизованной системе водоотведения</v>
      </c>
      <c r="G81" s="1" t="str">
        <f>INDEX(PT_DIFFERENTIATION_NTAR,MATCH(B81,PT_DIFFERENTIATION_NTAR_ID,0))</f>
        <v/>
      </c>
      <c r="L81" t="s">
        <v>424</v>
      </c>
      <c r="M81" s="1"/>
      <c r="AH81">
        <v>0</v>
      </c>
    </row>
    <row r="82" spans="1:34" ht="18.75" hidden="1" customHeight="1" x14ac:dyDescent="0.15">
      <c r="C82" t="s">
        <v>1267</v>
      </c>
      <c r="D82" s="1"/>
      <c r="E82" s="1"/>
      <c r="F82" s="1"/>
      <c r="G82" s="1"/>
      <c r="I82" t="s">
        <v>1268</v>
      </c>
      <c r="M82" s="1"/>
      <c r="AH82">
        <v>0</v>
      </c>
    </row>
    <row r="83" spans="1:34" ht="1.1499999999999999" customHeight="1" x14ac:dyDescent="0.15">
      <c r="C83" t="s">
        <v>1273</v>
      </c>
      <c r="D83" s="1"/>
      <c r="E83" s="1"/>
      <c r="F83" s="1"/>
      <c r="M83" s="1"/>
      <c r="AH83">
        <v>1</v>
      </c>
    </row>
    <row r="84" spans="1:34" ht="19.899999999999999" customHeight="1" x14ac:dyDescent="0.15">
      <c r="E84" t="s">
        <v>105</v>
      </c>
      <c r="F84" s="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
      <c r="H84" s="1"/>
      <c r="I84" s="1"/>
      <c r="J84" s="1"/>
      <c r="K84" s="1"/>
      <c r="L84" s="1"/>
      <c r="AH84">
        <v>19</v>
      </c>
    </row>
    <row r="85" spans="1:34" ht="35.65" customHeight="1" x14ac:dyDescent="0.15">
      <c r="F85" t="s">
        <v>424</v>
      </c>
      <c r="G85" t="s">
        <v>424</v>
      </c>
      <c r="H85" s="1" t="s">
        <v>424</v>
      </c>
      <c r="I85" s="1"/>
      <c r="J85" t="s">
        <v>424</v>
      </c>
      <c r="K85" t="s">
        <v>424</v>
      </c>
      <c r="M85" t="s">
        <v>1274</v>
      </c>
      <c r="AH85">
        <v>34</v>
      </c>
    </row>
    <row r="86" spans="1:34" ht="19.899999999999999" customHeight="1" x14ac:dyDescent="0.15">
      <c r="E86" t="s">
        <v>92</v>
      </c>
      <c r="F86" s="1" t="s">
        <v>1275</v>
      </c>
      <c r="G86" s="1"/>
      <c r="H86" s="1"/>
      <c r="I86" s="1"/>
      <c r="J86" s="1"/>
      <c r="K86" s="1"/>
      <c r="L86" s="1"/>
      <c r="AH86">
        <v>19</v>
      </c>
    </row>
    <row r="87" spans="1:34" ht="60.75" hidden="1" customHeight="1" x14ac:dyDescent="0.15">
      <c r="A87" t="s">
        <v>206</v>
      </c>
      <c r="B87" t="s">
        <v>207</v>
      </c>
      <c r="D87" s="1"/>
      <c r="E87" s="1"/>
      <c r="F87" s="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 t="str">
        <f>INDEX(PT_DIFFERENTIATION_NTAR,MATCH(B87,PT_DIFFERENTIATION_NTAR_ID,0))</f>
        <v/>
      </c>
      <c r="L87" t="s">
        <v>424</v>
      </c>
      <c r="M87"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v>0</v>
      </c>
    </row>
    <row r="88" spans="1:34" ht="18.75" hidden="1" customHeight="1" x14ac:dyDescent="0.15">
      <c r="C88" t="s">
        <v>1269</v>
      </c>
      <c r="D88" s="1"/>
      <c r="E88" s="1"/>
      <c r="F88" s="1"/>
      <c r="G88" s="1"/>
      <c r="I88" t="s">
        <v>1268</v>
      </c>
      <c r="M88" s="1"/>
      <c r="AH88">
        <v>0</v>
      </c>
    </row>
    <row r="89" spans="1:34" ht="0.75" hidden="1" customHeight="1" x14ac:dyDescent="0.15">
      <c r="C89" t="s">
        <v>1276</v>
      </c>
      <c r="D89" s="1"/>
      <c r="E89" s="1"/>
      <c r="F89" s="1"/>
      <c r="M89" s="1"/>
      <c r="AH89">
        <v>0</v>
      </c>
    </row>
    <row r="90" spans="1:34" ht="45" hidden="1" customHeight="1" x14ac:dyDescent="0.15">
      <c r="A90" t="s">
        <v>211</v>
      </c>
      <c r="B90" t="s">
        <v>212</v>
      </c>
      <c r="D90" s="1"/>
      <c r="E90" s="1"/>
      <c r="F90" s="1" t="str">
        <f>INDEX(PT_DIFFERENTIATION_VTAR,MATCH(A90,PT_DIFFERENTIATION_VTAR_ID,0))</f>
        <v/>
      </c>
      <c r="G90" s="1" t="str">
        <f>INDEX(PT_DIFFERENTIATION_NTAR,MATCH(B90,PT_DIFFERENTIATION_NTAR_ID,0))</f>
        <v/>
      </c>
      <c r="L90" t="s">
        <v>424</v>
      </c>
      <c r="M90" s="1"/>
      <c r="AH90">
        <v>0</v>
      </c>
    </row>
    <row r="91" spans="1:34" ht="18.75" hidden="1" customHeight="1" x14ac:dyDescent="0.15">
      <c r="C91" t="s">
        <v>1269</v>
      </c>
      <c r="D91" s="1"/>
      <c r="E91" s="1"/>
      <c r="F91" s="1"/>
      <c r="G91" s="1"/>
      <c r="I91" t="s">
        <v>1268</v>
      </c>
      <c r="AH91">
        <v>0</v>
      </c>
    </row>
    <row r="92" spans="1:34" ht="0.75" hidden="1" customHeight="1" x14ac:dyDescent="0.15">
      <c r="C92" t="s">
        <v>1276</v>
      </c>
      <c r="D92" s="1"/>
      <c r="E92" s="1"/>
      <c r="F92" s="1"/>
      <c r="AH92">
        <v>0</v>
      </c>
    </row>
    <row r="93" spans="1:34" ht="45" hidden="1" customHeight="1" x14ac:dyDescent="0.15">
      <c r="A93" t="s">
        <v>218</v>
      </c>
      <c r="B93" t="s">
        <v>219</v>
      </c>
      <c r="D93" s="1"/>
      <c r="E93" s="1"/>
      <c r="F93" s="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 t="str">
        <f>INDEX(PT_DIFFERENTIATION_NTAR,MATCH(B93,PT_DIFFERENTIATION_NTAR_ID,0))</f>
        <v/>
      </c>
      <c r="L93" t="s">
        <v>424</v>
      </c>
      <c r="AH93">
        <v>0</v>
      </c>
    </row>
    <row r="94" spans="1:34" ht="18.75" hidden="1" customHeight="1" x14ac:dyDescent="0.15">
      <c r="C94" t="s">
        <v>1269</v>
      </c>
      <c r="D94" s="1"/>
      <c r="E94" s="1"/>
      <c r="F94" s="1"/>
      <c r="G94" s="1"/>
      <c r="I94" t="s">
        <v>1268</v>
      </c>
      <c r="AH94">
        <v>0</v>
      </c>
    </row>
    <row r="95" spans="1:34" ht="0.75" hidden="1" customHeight="1" x14ac:dyDescent="0.15">
      <c r="C95" t="s">
        <v>1276</v>
      </c>
      <c r="D95" s="1"/>
      <c r="E95" s="1"/>
      <c r="F95" s="1"/>
      <c r="AH95">
        <v>0</v>
      </c>
    </row>
    <row r="96" spans="1:34" ht="45" hidden="1" customHeight="1" x14ac:dyDescent="0.15">
      <c r="A96" t="s">
        <v>224</v>
      </c>
      <c r="B96" t="s">
        <v>225</v>
      </c>
      <c r="D96" s="1"/>
      <c r="E96" s="1"/>
      <c r="F96" s="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 t="str">
        <f>INDEX(PT_DIFFERENTIATION_NTAR,MATCH(B96,PT_DIFFERENTIATION_NTAR_ID,0))</f>
        <v/>
      </c>
      <c r="L96" t="s">
        <v>424</v>
      </c>
      <c r="AH96">
        <v>0</v>
      </c>
    </row>
    <row r="97" spans="1:34" ht="18.75" hidden="1" customHeight="1" x14ac:dyDescent="0.15">
      <c r="C97" t="s">
        <v>1269</v>
      </c>
      <c r="D97" s="1"/>
      <c r="E97" s="1"/>
      <c r="F97" s="1"/>
      <c r="G97" s="1"/>
      <c r="I97" t="s">
        <v>1268</v>
      </c>
      <c r="AH97">
        <v>0</v>
      </c>
    </row>
    <row r="98" spans="1:34" ht="0.75" hidden="1" customHeight="1" x14ac:dyDescent="0.15">
      <c r="C98" t="s">
        <v>1276</v>
      </c>
      <c r="D98" s="1"/>
      <c r="E98" s="1"/>
      <c r="F98" s="1"/>
      <c r="AH98">
        <v>0</v>
      </c>
    </row>
    <row r="99" spans="1:34" ht="18.75" hidden="1" customHeight="1" x14ac:dyDescent="0.15">
      <c r="A99" t="s">
        <v>230</v>
      </c>
      <c r="B99" t="s">
        <v>231</v>
      </c>
      <c r="D99" s="1"/>
      <c r="E99" s="1"/>
      <c r="F99" s="1" t="str">
        <f>INDEX(PT_DIFFERENTIATION_VTAR,MATCH(A99,PT_DIFFERENTIATION_VTAR_ID,0))</f>
        <v>Тарифы на услуги по передаче тепловой энергии</v>
      </c>
      <c r="G99" s="1" t="str">
        <f>INDEX(PT_DIFFERENTIATION_NTAR,MATCH(B99,PT_DIFFERENTIATION_NTAR_ID,0))</f>
        <v/>
      </c>
      <c r="L99" t="s">
        <v>424</v>
      </c>
      <c r="AH99">
        <v>0</v>
      </c>
    </row>
    <row r="100" spans="1:34" ht="18.75" hidden="1" customHeight="1" x14ac:dyDescent="0.15">
      <c r="C100" t="s">
        <v>1269</v>
      </c>
      <c r="D100" s="1"/>
      <c r="E100" s="1"/>
      <c r="F100" s="1"/>
      <c r="G100" s="1"/>
      <c r="I100" t="s">
        <v>1268</v>
      </c>
      <c r="AH100">
        <v>0</v>
      </c>
    </row>
    <row r="101" spans="1:34" ht="0.75" hidden="1" customHeight="1" x14ac:dyDescent="0.15">
      <c r="C101" t="s">
        <v>1276</v>
      </c>
      <c r="D101" s="1"/>
      <c r="E101" s="1"/>
      <c r="F101" s="1"/>
      <c r="AH101">
        <v>0</v>
      </c>
    </row>
    <row r="102" spans="1:34" ht="18.75" hidden="1" customHeight="1" x14ac:dyDescent="0.15">
      <c r="A102" t="s">
        <v>236</v>
      </c>
      <c r="B102" t="s">
        <v>237</v>
      </c>
      <c r="D102" s="1"/>
      <c r="E102" s="1"/>
      <c r="F102" s="1" t="str">
        <f>INDEX(PT_DIFFERENTIATION_VTAR,MATCH(A102,PT_DIFFERENTIATION_VTAR_ID,0))</f>
        <v>Тарифы на услуги по передаче теплоносителя</v>
      </c>
      <c r="G102" s="1" t="str">
        <f>INDEX(PT_DIFFERENTIATION_NTAR,MATCH(B102,PT_DIFFERENTIATION_NTAR_ID,0))</f>
        <v/>
      </c>
      <c r="L102" t="s">
        <v>424</v>
      </c>
      <c r="AH102">
        <v>0</v>
      </c>
    </row>
    <row r="103" spans="1:34" ht="18.75" hidden="1" customHeight="1" x14ac:dyDescent="0.15">
      <c r="C103" t="s">
        <v>1269</v>
      </c>
      <c r="D103" s="1"/>
      <c r="E103" s="1"/>
      <c r="F103" s="1"/>
      <c r="G103" s="1"/>
      <c r="I103" t="s">
        <v>1268</v>
      </c>
      <c r="AH103">
        <v>0</v>
      </c>
    </row>
    <row r="104" spans="1:34" ht="0.75" hidden="1" customHeight="1" x14ac:dyDescent="0.15">
      <c r="C104" t="s">
        <v>1276</v>
      </c>
      <c r="D104" s="1"/>
      <c r="E104" s="1"/>
      <c r="F104" s="1"/>
      <c r="AH104">
        <v>0</v>
      </c>
    </row>
    <row r="105" spans="1:34" ht="18.75" hidden="1" customHeight="1" x14ac:dyDescent="0.15">
      <c r="A105" t="s">
        <v>242</v>
      </c>
      <c r="B105" t="s">
        <v>243</v>
      </c>
      <c r="D105" s="1"/>
      <c r="E105" s="1"/>
      <c r="F105" s="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 t="str">
        <f>INDEX(PT_DIFFERENTIATION_NTAR,MATCH(B105,PT_DIFFERENTIATION_NTAR_ID,0))</f>
        <v/>
      </c>
      <c r="L105" t="s">
        <v>424</v>
      </c>
      <c r="AH105">
        <v>0</v>
      </c>
    </row>
    <row r="106" spans="1:34" ht="18.75" hidden="1" customHeight="1" x14ac:dyDescent="0.15">
      <c r="C106" t="s">
        <v>1269</v>
      </c>
      <c r="D106" s="1"/>
      <c r="E106" s="1"/>
      <c r="F106" s="1"/>
      <c r="G106" s="1"/>
      <c r="I106" t="s">
        <v>1268</v>
      </c>
      <c r="AH106">
        <v>0</v>
      </c>
    </row>
    <row r="107" spans="1:34" ht="0.75" hidden="1" customHeight="1" x14ac:dyDescent="0.15">
      <c r="C107" t="s">
        <v>1276</v>
      </c>
      <c r="D107" s="1"/>
      <c r="E107" s="1"/>
      <c r="F107" s="1"/>
      <c r="AH107">
        <v>0</v>
      </c>
    </row>
    <row r="108" spans="1:34" ht="18.75" hidden="1" customHeight="1" x14ac:dyDescent="0.15">
      <c r="A108" t="s">
        <v>248</v>
      </c>
      <c r="B108" t="s">
        <v>249</v>
      </c>
      <c r="D108" s="1"/>
      <c r="E108" s="1"/>
      <c r="F108" s="1" t="str">
        <f>INDEX(PT_DIFFERENTIATION_VTAR,MATCH(A108,PT_DIFFERENTIATION_VTAR_ID,0))</f>
        <v>Плата за подключение (технологическое присоединение) к системе теплоснабжения</v>
      </c>
      <c r="G108" s="1" t="str">
        <f>INDEX(PT_DIFFERENTIATION_NTAR,MATCH(B108,PT_DIFFERENTIATION_NTAR_ID,0))</f>
        <v/>
      </c>
      <c r="L108" t="s">
        <v>424</v>
      </c>
      <c r="AH108">
        <v>0</v>
      </c>
    </row>
    <row r="109" spans="1:34" ht="18.75" hidden="1" customHeight="1" x14ac:dyDescent="0.15">
      <c r="C109" t="s">
        <v>1269</v>
      </c>
      <c r="D109" s="1"/>
      <c r="E109" s="1"/>
      <c r="F109" s="1"/>
      <c r="G109" s="1"/>
      <c r="I109" t="s">
        <v>1268</v>
      </c>
      <c r="AH109">
        <v>0</v>
      </c>
    </row>
    <row r="110" spans="1:34" ht="0.75" hidden="1" customHeight="1" x14ac:dyDescent="0.15">
      <c r="C110" t="s">
        <v>1276</v>
      </c>
      <c r="D110" s="1"/>
      <c r="E110" s="1"/>
      <c r="F110" s="1"/>
      <c r="AH110">
        <v>0</v>
      </c>
    </row>
    <row r="111" spans="1:34" ht="18.75" hidden="1" customHeight="1" x14ac:dyDescent="0.15">
      <c r="A111" t="s">
        <v>254</v>
      </c>
      <c r="B111" t="s">
        <v>255</v>
      </c>
      <c r="D111" s="1"/>
      <c r="E111" s="1"/>
      <c r="F111" s="1" t="str">
        <f>INDEX(PT_DIFFERENTIATION_VTAR,MATCH(A111,PT_DIFFERENTIATION_VTAR_ID,0))</f>
        <v>Плата за подключение (технологическое присоединение) к системе теплоснабжения (индивидуальная)</v>
      </c>
      <c r="G111" s="1" t="str">
        <f>INDEX(PT_DIFFERENTIATION_NTAR,MATCH(B111,PT_DIFFERENTIATION_NTAR_ID,0))</f>
        <v/>
      </c>
      <c r="L111" t="s">
        <v>424</v>
      </c>
      <c r="AH111">
        <v>0</v>
      </c>
    </row>
    <row r="112" spans="1:34" ht="18.75" hidden="1" customHeight="1" x14ac:dyDescent="0.15">
      <c r="C112" t="s">
        <v>1269</v>
      </c>
      <c r="D112" s="1"/>
      <c r="E112" s="1"/>
      <c r="F112" s="1"/>
      <c r="G112" s="1"/>
      <c r="I112" t="s">
        <v>1268</v>
      </c>
      <c r="AH112">
        <v>0</v>
      </c>
    </row>
    <row r="113" spans="1:34" ht="0.75" hidden="1" customHeight="1" x14ac:dyDescent="0.15">
      <c r="C113" t="s">
        <v>1276</v>
      </c>
      <c r="D113" s="1"/>
      <c r="E113" s="1"/>
      <c r="F113" s="1"/>
      <c r="AH113">
        <v>0</v>
      </c>
    </row>
    <row r="114" spans="1:34" ht="18.75" hidden="1" customHeight="1" x14ac:dyDescent="0.15">
      <c r="A114" t="s">
        <v>274</v>
      </c>
      <c r="B114" t="s">
        <v>275</v>
      </c>
      <c r="D114" s="1"/>
      <c r="E114" s="1"/>
      <c r="F114" s="1" t="str">
        <f>INDEX(PT_DIFFERENTIATION_VTAR,MATCH(A114,PT_DIFFERENTIATION_VTAR_ID,0))</f>
        <v>Тариф на питьевую воду (питьевое водоснабжение)</v>
      </c>
      <c r="G114" s="1" t="str">
        <f>INDEX(PT_DIFFERENTIATION_NTAR,MATCH(B114,PT_DIFFERENTIATION_NTAR_ID,0))</f>
        <v/>
      </c>
      <c r="L114" t="s">
        <v>424</v>
      </c>
      <c r="AH114">
        <v>0</v>
      </c>
    </row>
    <row r="115" spans="1:34" ht="18.75" hidden="1" customHeight="1" x14ac:dyDescent="0.15">
      <c r="C115" t="s">
        <v>1269</v>
      </c>
      <c r="D115" s="1"/>
      <c r="E115" s="1"/>
      <c r="F115" s="1"/>
      <c r="G115" s="1"/>
      <c r="I115" t="s">
        <v>1268</v>
      </c>
      <c r="AH115">
        <v>0</v>
      </c>
    </row>
    <row r="116" spans="1:34" ht="0.75" hidden="1" customHeight="1" x14ac:dyDescent="0.15">
      <c r="C116" t="s">
        <v>1276</v>
      </c>
      <c r="D116" s="1"/>
      <c r="E116" s="1"/>
      <c r="F116" s="1"/>
      <c r="AH116">
        <v>0</v>
      </c>
    </row>
    <row r="117" spans="1:34" ht="18.75" hidden="1" customHeight="1" x14ac:dyDescent="0.15">
      <c r="A117" t="s">
        <v>279</v>
      </c>
      <c r="B117" t="s">
        <v>280</v>
      </c>
      <c r="D117" s="1"/>
      <c r="E117" s="1"/>
      <c r="F117" s="1" t="str">
        <f>INDEX(PT_DIFFERENTIATION_VTAR,MATCH(A117,PT_DIFFERENTIATION_VTAR_ID,0))</f>
        <v>Тариф на техническую воду</v>
      </c>
      <c r="G117" s="1" t="str">
        <f>INDEX(PT_DIFFERENTIATION_NTAR,MATCH(B117,PT_DIFFERENTIATION_NTAR_ID,0))</f>
        <v/>
      </c>
      <c r="L117" t="s">
        <v>424</v>
      </c>
      <c r="AH117">
        <v>0</v>
      </c>
    </row>
    <row r="118" spans="1:34" ht="18.75" hidden="1" customHeight="1" x14ac:dyDescent="0.15">
      <c r="C118" t="s">
        <v>1269</v>
      </c>
      <c r="D118" s="1"/>
      <c r="E118" s="1"/>
      <c r="F118" s="1"/>
      <c r="G118" s="1"/>
      <c r="I118" t="s">
        <v>1268</v>
      </c>
      <c r="AH118">
        <v>0</v>
      </c>
    </row>
    <row r="119" spans="1:34" ht="0.75" hidden="1" customHeight="1" x14ac:dyDescent="0.15">
      <c r="C119" t="s">
        <v>1276</v>
      </c>
      <c r="D119" s="1"/>
      <c r="E119" s="1"/>
      <c r="F119" s="1"/>
      <c r="AH119">
        <v>0</v>
      </c>
    </row>
    <row r="120" spans="1:34" ht="18.75" hidden="1" customHeight="1" x14ac:dyDescent="0.15">
      <c r="A120" t="s">
        <v>284</v>
      </c>
      <c r="B120" t="s">
        <v>285</v>
      </c>
      <c r="D120" s="1"/>
      <c r="E120" s="1"/>
      <c r="F120" s="1" t="str">
        <f>INDEX(PT_DIFFERENTIATION_VTAR,MATCH(A120,PT_DIFFERENTIATION_VTAR_ID,0))</f>
        <v>Тариф на транспортировку воды</v>
      </c>
      <c r="G120" s="1" t="str">
        <f>INDEX(PT_DIFFERENTIATION_NTAR,MATCH(B120,PT_DIFFERENTIATION_NTAR_ID,0))</f>
        <v/>
      </c>
      <c r="L120" t="s">
        <v>424</v>
      </c>
      <c r="AH120">
        <v>0</v>
      </c>
    </row>
    <row r="121" spans="1:34" ht="18.75" hidden="1" customHeight="1" x14ac:dyDescent="0.15">
      <c r="C121" t="s">
        <v>1269</v>
      </c>
      <c r="D121" s="1"/>
      <c r="E121" s="1"/>
      <c r="F121" s="1"/>
      <c r="G121" s="1"/>
      <c r="I121" t="s">
        <v>1268</v>
      </c>
      <c r="AH121">
        <v>0</v>
      </c>
    </row>
    <row r="122" spans="1:34" ht="0.75" hidden="1" customHeight="1" x14ac:dyDescent="0.15">
      <c r="C122" t="s">
        <v>1276</v>
      </c>
      <c r="D122" s="1"/>
      <c r="E122" s="1"/>
      <c r="F122" s="1"/>
      <c r="AH122">
        <v>0</v>
      </c>
    </row>
    <row r="123" spans="1:34" ht="18.75" hidden="1" customHeight="1" x14ac:dyDescent="0.15">
      <c r="A123" t="s">
        <v>289</v>
      </c>
      <c r="B123" t="s">
        <v>290</v>
      </c>
      <c r="D123" s="1"/>
      <c r="E123" s="1"/>
      <c r="F123" s="1" t="str">
        <f>INDEX(PT_DIFFERENTIATION_VTAR,MATCH(A123,PT_DIFFERENTIATION_VTAR_ID,0))</f>
        <v>Тариф на подвоз воды</v>
      </c>
      <c r="G123" s="1" t="str">
        <f>INDEX(PT_DIFFERENTIATION_NTAR,MATCH(B123,PT_DIFFERENTIATION_NTAR_ID,0))</f>
        <v/>
      </c>
      <c r="L123" t="s">
        <v>424</v>
      </c>
      <c r="AH123">
        <v>0</v>
      </c>
    </row>
    <row r="124" spans="1:34" ht="18.75" hidden="1" customHeight="1" x14ac:dyDescent="0.15">
      <c r="C124" t="s">
        <v>1269</v>
      </c>
      <c r="D124" s="1"/>
      <c r="E124" s="1"/>
      <c r="F124" s="1"/>
      <c r="G124" s="1"/>
      <c r="I124" t="s">
        <v>1268</v>
      </c>
      <c r="AH124">
        <v>0</v>
      </c>
    </row>
    <row r="125" spans="1:34" ht="0.75" hidden="1" customHeight="1" x14ac:dyDescent="0.15">
      <c r="C125" t="s">
        <v>1276</v>
      </c>
      <c r="D125" s="1"/>
      <c r="E125" s="1"/>
      <c r="F125" s="1"/>
      <c r="AH125">
        <v>0</v>
      </c>
    </row>
    <row r="126" spans="1:34" ht="18.75" hidden="1" customHeight="1" x14ac:dyDescent="0.15">
      <c r="A126" t="s">
        <v>294</v>
      </c>
      <c r="B126" t="s">
        <v>295</v>
      </c>
      <c r="D126" s="1"/>
      <c r="E126" s="1"/>
      <c r="F126" s="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 t="str">
        <f>INDEX(PT_DIFFERENTIATION_NTAR,MATCH(B126,PT_DIFFERENTIATION_NTAR_ID,0))</f>
        <v/>
      </c>
      <c r="L126" t="s">
        <v>424</v>
      </c>
      <c r="AH126">
        <v>0</v>
      </c>
    </row>
    <row r="127" spans="1:34" ht="18.75" hidden="1" customHeight="1" x14ac:dyDescent="0.15">
      <c r="C127" t="s">
        <v>1269</v>
      </c>
      <c r="D127" s="1"/>
      <c r="E127" s="1"/>
      <c r="F127" s="1"/>
      <c r="G127" s="1"/>
      <c r="I127" t="s">
        <v>1268</v>
      </c>
      <c r="AH127">
        <v>0</v>
      </c>
    </row>
    <row r="128" spans="1:34" ht="0.75" hidden="1" customHeight="1" x14ac:dyDescent="0.15">
      <c r="C128" t="s">
        <v>1276</v>
      </c>
      <c r="D128" s="1"/>
      <c r="E128" s="1"/>
      <c r="F128" s="1"/>
      <c r="AH128">
        <v>0</v>
      </c>
    </row>
    <row r="129" spans="1:34" ht="18.75" hidden="1" customHeight="1" x14ac:dyDescent="0.15">
      <c r="A129" t="s">
        <v>299</v>
      </c>
      <c r="B129" t="s">
        <v>300</v>
      </c>
      <c r="D129" s="1"/>
      <c r="E129" s="1"/>
      <c r="F129" s="1" t="str">
        <f>INDEX(PT_DIFFERENTIATION_VTAR,MATCH(A129,PT_DIFFERENTIATION_VTAR_ID,0))</f>
        <v>Тариф на горячую воду (горячее водоснабжение)</v>
      </c>
      <c r="G129" s="1" t="str">
        <f>INDEX(PT_DIFFERENTIATION_NTAR,MATCH(B129,PT_DIFFERENTIATION_NTAR_ID,0))</f>
        <v/>
      </c>
      <c r="L129" t="s">
        <v>424</v>
      </c>
      <c r="AH129">
        <v>0</v>
      </c>
    </row>
    <row r="130" spans="1:34" ht="18.75" hidden="1" customHeight="1" x14ac:dyDescent="0.15">
      <c r="C130" t="s">
        <v>1269</v>
      </c>
      <c r="D130" s="1"/>
      <c r="E130" s="1"/>
      <c r="F130" s="1"/>
      <c r="G130" s="1"/>
      <c r="I130" t="s">
        <v>1268</v>
      </c>
      <c r="AH130">
        <v>0</v>
      </c>
    </row>
    <row r="131" spans="1:34" ht="0.75" hidden="1" customHeight="1" x14ac:dyDescent="0.15">
      <c r="C131" t="s">
        <v>1276</v>
      </c>
      <c r="D131" s="1"/>
      <c r="E131" s="1"/>
      <c r="F131" s="1"/>
      <c r="AH131">
        <v>0</v>
      </c>
    </row>
    <row r="132" spans="1:34" ht="18.75" hidden="1" customHeight="1" x14ac:dyDescent="0.15">
      <c r="A132" t="s">
        <v>304</v>
      </c>
      <c r="B132" t="s">
        <v>305</v>
      </c>
      <c r="D132" s="1"/>
      <c r="E132" s="1"/>
      <c r="F132" s="1" t="str">
        <f>INDEX(PT_DIFFERENTIATION_VTAR,MATCH(A132,PT_DIFFERENTIATION_VTAR_ID,0))</f>
        <v>Тариф на транспортировку горячей воды</v>
      </c>
      <c r="G132" s="1" t="str">
        <f>INDEX(PT_DIFFERENTIATION_NTAR,MATCH(B132,PT_DIFFERENTIATION_NTAR_ID,0))</f>
        <v/>
      </c>
      <c r="L132" t="s">
        <v>424</v>
      </c>
      <c r="AH132">
        <v>0</v>
      </c>
    </row>
    <row r="133" spans="1:34" ht="18.75" hidden="1" customHeight="1" x14ac:dyDescent="0.15">
      <c r="C133" t="s">
        <v>1269</v>
      </c>
      <c r="D133" s="1"/>
      <c r="E133" s="1"/>
      <c r="F133" s="1"/>
      <c r="G133" s="1"/>
      <c r="I133" t="s">
        <v>1268</v>
      </c>
      <c r="AH133">
        <v>0</v>
      </c>
    </row>
    <row r="134" spans="1:34" ht="0.75" hidden="1" customHeight="1" x14ac:dyDescent="0.15">
      <c r="C134" t="s">
        <v>1276</v>
      </c>
      <c r="D134" s="1"/>
      <c r="E134" s="1"/>
      <c r="F134" s="1"/>
      <c r="AH134">
        <v>0</v>
      </c>
    </row>
    <row r="135" spans="1:34" ht="18.75" hidden="1" customHeight="1" x14ac:dyDescent="0.15">
      <c r="A135" t="s">
        <v>309</v>
      </c>
      <c r="B135" t="s">
        <v>310</v>
      </c>
      <c r="D135" s="1"/>
      <c r="E135" s="1"/>
      <c r="F135" s="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 t="str">
        <f>INDEX(PT_DIFFERENTIATION_NTAR,MATCH(B135,PT_DIFFERENTIATION_NTAR_ID,0))</f>
        <v/>
      </c>
      <c r="L135" t="s">
        <v>424</v>
      </c>
      <c r="AH135">
        <v>0</v>
      </c>
    </row>
    <row r="136" spans="1:34" ht="18.75" hidden="1" customHeight="1" x14ac:dyDescent="0.15">
      <c r="C136" t="s">
        <v>1269</v>
      </c>
      <c r="D136" s="1"/>
      <c r="E136" s="1"/>
      <c r="F136" s="1"/>
      <c r="G136" s="1"/>
      <c r="I136" t="s">
        <v>1268</v>
      </c>
      <c r="AH136">
        <v>0</v>
      </c>
    </row>
    <row r="137" spans="1:34" ht="0.75" hidden="1" customHeight="1" x14ac:dyDescent="0.15">
      <c r="C137" t="s">
        <v>1276</v>
      </c>
      <c r="D137" s="1"/>
      <c r="E137" s="1"/>
      <c r="F137" s="1"/>
      <c r="AH137">
        <v>0</v>
      </c>
    </row>
    <row r="138" spans="1:34" ht="18.75" hidden="1" customHeight="1" x14ac:dyDescent="0.15">
      <c r="A138" t="s">
        <v>317</v>
      </c>
      <c r="B138" t="s">
        <v>318</v>
      </c>
      <c r="D138" s="1"/>
      <c r="E138" s="1"/>
      <c r="F138" s="1" t="str">
        <f>INDEX(PT_DIFFERENTIATION_VTAR,MATCH(A138,PT_DIFFERENTIATION_VTAR_ID,0))</f>
        <v>Тариф на водоотведение</v>
      </c>
      <c r="G138" s="1" t="str">
        <f>INDEX(PT_DIFFERENTIATION_NTAR,MATCH(B138,PT_DIFFERENTIATION_NTAR_ID,0))</f>
        <v>Тариф на водоотведение для потребителей КГУП "Примтеплоэнерго"</v>
      </c>
      <c r="L138" t="s">
        <v>424</v>
      </c>
      <c r="AH138">
        <v>0</v>
      </c>
    </row>
    <row r="139" spans="1:34" ht="18.75" hidden="1" customHeight="1" x14ac:dyDescent="0.15">
      <c r="C139" t="s">
        <v>1269</v>
      </c>
      <c r="D139" s="1"/>
      <c r="E139" s="1"/>
      <c r="F139" s="1"/>
      <c r="G139" s="1"/>
      <c r="I139" t="s">
        <v>1268</v>
      </c>
      <c r="AH139">
        <v>0</v>
      </c>
    </row>
    <row r="140" spans="1:34" ht="0.75" hidden="1" customHeight="1" x14ac:dyDescent="0.15">
      <c r="C140" t="s">
        <v>1276</v>
      </c>
      <c r="D140" s="1"/>
      <c r="E140" s="1"/>
      <c r="F140" s="1"/>
      <c r="AH140">
        <v>0</v>
      </c>
    </row>
    <row r="141" spans="1:34" ht="18.75" hidden="1" customHeight="1" x14ac:dyDescent="0.15">
      <c r="A141" t="s">
        <v>388</v>
      </c>
      <c r="B141" t="s">
        <v>389</v>
      </c>
      <c r="D141" s="1"/>
      <c r="E141" s="1"/>
      <c r="F141" s="1" t="str">
        <f>INDEX(PT_DIFFERENTIATION_VTAR,MATCH(A141,PT_DIFFERENTIATION_VTAR_ID,0))</f>
        <v>Тариф на транспортировку сточных вод</v>
      </c>
      <c r="G141" s="1" t="str">
        <f>INDEX(PT_DIFFERENTIATION_NTAR,MATCH(B141,PT_DIFFERENTIATION_NTAR_ID,0))</f>
        <v/>
      </c>
      <c r="L141" t="s">
        <v>424</v>
      </c>
      <c r="AH141">
        <v>0</v>
      </c>
    </row>
    <row r="142" spans="1:34" ht="18.75" hidden="1" customHeight="1" x14ac:dyDescent="0.15">
      <c r="C142" t="s">
        <v>1269</v>
      </c>
      <c r="D142" s="1"/>
      <c r="E142" s="1"/>
      <c r="F142" s="1"/>
      <c r="G142" s="1"/>
      <c r="I142" t="s">
        <v>1268</v>
      </c>
      <c r="AH142">
        <v>0</v>
      </c>
    </row>
    <row r="143" spans="1:34" ht="0.75" hidden="1" customHeight="1" x14ac:dyDescent="0.15">
      <c r="C143" t="s">
        <v>1276</v>
      </c>
      <c r="D143" s="1"/>
      <c r="E143" s="1"/>
      <c r="F143" s="1"/>
      <c r="AH143">
        <v>0</v>
      </c>
    </row>
    <row r="144" spans="1:34" ht="18.75" hidden="1" customHeight="1" x14ac:dyDescent="0.15">
      <c r="A144" t="s">
        <v>393</v>
      </c>
      <c r="B144" t="s">
        <v>394</v>
      </c>
      <c r="D144" s="1"/>
      <c r="E144" s="1"/>
      <c r="F144" s="1" t="str">
        <f>INDEX(PT_DIFFERENTIATION_VTAR,MATCH(A144,PT_DIFFERENTIATION_VTAR_ID,0))</f>
        <v>Тариф на подключение (технологическое присоединение) к централизованной системе водоотведения</v>
      </c>
      <c r="G144" s="1" t="str">
        <f>INDEX(PT_DIFFERENTIATION_NTAR,MATCH(B144,PT_DIFFERENTIATION_NTAR_ID,0))</f>
        <v/>
      </c>
      <c r="L144" t="s">
        <v>424</v>
      </c>
      <c r="AH144">
        <v>0</v>
      </c>
    </row>
    <row r="145" spans="1:34" ht="18.75" hidden="1" customHeight="1" x14ac:dyDescent="0.15">
      <c r="C145" t="s">
        <v>1269</v>
      </c>
      <c r="D145" s="1"/>
      <c r="E145" s="1"/>
      <c r="F145" s="1"/>
      <c r="G145" s="1"/>
      <c r="I145" t="s">
        <v>1268</v>
      </c>
      <c r="AH145">
        <v>0</v>
      </c>
    </row>
    <row r="146" spans="1:34" ht="1.1499999999999999" customHeight="1" x14ac:dyDescent="0.15">
      <c r="C146" t="s">
        <v>1276</v>
      </c>
      <c r="D146" s="1"/>
      <c r="E146" s="1"/>
      <c r="F146" s="1"/>
      <c r="AH146">
        <v>1</v>
      </c>
    </row>
    <row r="147" spans="1:34" ht="19.899999999999999" customHeight="1" x14ac:dyDescent="0.15">
      <c r="E147" t="s">
        <v>93</v>
      </c>
      <c r="F147" s="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
      <c r="H147" s="1"/>
      <c r="I147" s="1"/>
      <c r="J147" s="1"/>
      <c r="K147" s="1"/>
      <c r="L147" s="1"/>
      <c r="AH147">
        <v>19</v>
      </c>
    </row>
    <row r="148" spans="1:34" ht="60.75" hidden="1" customHeight="1" x14ac:dyDescent="0.15">
      <c r="A148" t="s">
        <v>206</v>
      </c>
      <c r="B148" t="s">
        <v>207</v>
      </c>
      <c r="D148" s="1"/>
      <c r="E148" s="1"/>
      <c r="F148" s="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 t="str">
        <f>INDEX(PT_DIFFERENTIATION_NTAR,MATCH(B148,PT_DIFFERENTIATION_NTAR_ID,0))</f>
        <v/>
      </c>
      <c r="L148" t="s">
        <v>424</v>
      </c>
      <c r="M148"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v>0</v>
      </c>
    </row>
    <row r="149" spans="1:34" ht="18.75" hidden="1" customHeight="1" x14ac:dyDescent="0.15">
      <c r="C149" t="s">
        <v>1269</v>
      </c>
      <c r="D149" s="1"/>
      <c r="E149" s="1"/>
      <c r="F149" s="1"/>
      <c r="G149" s="1"/>
      <c r="I149" t="s">
        <v>1268</v>
      </c>
      <c r="M149" s="1"/>
      <c r="AH149">
        <v>0</v>
      </c>
    </row>
    <row r="150" spans="1:34" ht="0.75" hidden="1" customHeight="1" x14ac:dyDescent="0.15">
      <c r="C150" t="s">
        <v>1276</v>
      </c>
      <c r="D150" s="1"/>
      <c r="E150" s="1"/>
      <c r="F150" s="1"/>
      <c r="M150" s="1"/>
      <c r="AH150">
        <v>0</v>
      </c>
    </row>
    <row r="151" spans="1:34" ht="45" hidden="1" customHeight="1" x14ac:dyDescent="0.15">
      <c r="A151" t="s">
        <v>211</v>
      </c>
      <c r="B151" t="s">
        <v>212</v>
      </c>
      <c r="D151" s="1"/>
      <c r="E151" s="1"/>
      <c r="F151" s="1" t="str">
        <f>INDEX(PT_DIFFERENTIATION_VTAR,MATCH(A151,PT_DIFFERENTIATION_VTAR_ID,0))</f>
        <v/>
      </c>
      <c r="G151" s="1" t="str">
        <f>INDEX(PT_DIFFERENTIATION_NTAR,MATCH(B151,PT_DIFFERENTIATION_NTAR_ID,0))</f>
        <v/>
      </c>
      <c r="L151" t="s">
        <v>424</v>
      </c>
      <c r="M151" s="1"/>
      <c r="AH151">
        <v>0</v>
      </c>
    </row>
    <row r="152" spans="1:34" ht="18.75" hidden="1" customHeight="1" x14ac:dyDescent="0.15">
      <c r="C152" t="s">
        <v>1269</v>
      </c>
      <c r="D152" s="1"/>
      <c r="E152" s="1"/>
      <c r="F152" s="1"/>
      <c r="G152" s="1"/>
      <c r="I152" t="s">
        <v>1268</v>
      </c>
      <c r="AH152">
        <v>0</v>
      </c>
    </row>
    <row r="153" spans="1:34" ht="0.75" hidden="1" customHeight="1" x14ac:dyDescent="0.15">
      <c r="C153" t="s">
        <v>1276</v>
      </c>
      <c r="D153" s="1"/>
      <c r="E153" s="1"/>
      <c r="F153" s="1"/>
      <c r="AH153">
        <v>0</v>
      </c>
    </row>
    <row r="154" spans="1:34" ht="45" hidden="1" customHeight="1" x14ac:dyDescent="0.15">
      <c r="A154" t="s">
        <v>218</v>
      </c>
      <c r="B154" t="s">
        <v>219</v>
      </c>
      <c r="D154" s="1"/>
      <c r="E154" s="1"/>
      <c r="F154" s="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 t="str">
        <f>INDEX(PT_DIFFERENTIATION_NTAR,MATCH(B154,PT_DIFFERENTIATION_NTAR_ID,0))</f>
        <v/>
      </c>
      <c r="L154" t="s">
        <v>424</v>
      </c>
      <c r="AH154">
        <v>0</v>
      </c>
    </row>
    <row r="155" spans="1:34" ht="18.75" hidden="1" customHeight="1" x14ac:dyDescent="0.15">
      <c r="C155" t="s">
        <v>1269</v>
      </c>
      <c r="D155" s="1"/>
      <c r="E155" s="1"/>
      <c r="F155" s="1"/>
      <c r="G155" s="1"/>
      <c r="I155" t="s">
        <v>1268</v>
      </c>
      <c r="AH155">
        <v>0</v>
      </c>
    </row>
    <row r="156" spans="1:34" ht="0.75" hidden="1" customHeight="1" x14ac:dyDescent="0.15">
      <c r="C156" t="s">
        <v>1276</v>
      </c>
      <c r="D156" s="1"/>
      <c r="E156" s="1"/>
      <c r="F156" s="1"/>
      <c r="AH156">
        <v>0</v>
      </c>
    </row>
    <row r="157" spans="1:34" ht="45" hidden="1" customHeight="1" x14ac:dyDescent="0.15">
      <c r="A157" t="s">
        <v>224</v>
      </c>
      <c r="B157" t="s">
        <v>225</v>
      </c>
      <c r="D157" s="1"/>
      <c r="E157" s="1"/>
      <c r="F157" s="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 t="str">
        <f>INDEX(PT_DIFFERENTIATION_NTAR,MATCH(B157,PT_DIFFERENTIATION_NTAR_ID,0))</f>
        <v/>
      </c>
      <c r="L157" t="s">
        <v>424</v>
      </c>
      <c r="AH157">
        <v>0</v>
      </c>
    </row>
    <row r="158" spans="1:34" ht="18.75" hidden="1" customHeight="1" x14ac:dyDescent="0.15">
      <c r="C158" t="s">
        <v>1269</v>
      </c>
      <c r="D158" s="1"/>
      <c r="E158" s="1"/>
      <c r="F158" s="1"/>
      <c r="G158" s="1"/>
      <c r="I158" t="s">
        <v>1268</v>
      </c>
      <c r="AH158">
        <v>0</v>
      </c>
    </row>
    <row r="159" spans="1:34" ht="0.75" hidden="1" customHeight="1" x14ac:dyDescent="0.15">
      <c r="C159" t="s">
        <v>1276</v>
      </c>
      <c r="D159" s="1"/>
      <c r="E159" s="1"/>
      <c r="F159" s="1"/>
      <c r="AH159">
        <v>0</v>
      </c>
    </row>
    <row r="160" spans="1:34" ht="18.75" hidden="1" customHeight="1" x14ac:dyDescent="0.15">
      <c r="A160" t="s">
        <v>230</v>
      </c>
      <c r="B160" t="s">
        <v>231</v>
      </c>
      <c r="D160" s="1"/>
      <c r="E160" s="1"/>
      <c r="F160" s="1" t="str">
        <f>INDEX(PT_DIFFERENTIATION_VTAR,MATCH(A160,PT_DIFFERENTIATION_VTAR_ID,0))</f>
        <v>Тарифы на услуги по передаче тепловой энергии</v>
      </c>
      <c r="G160" s="1" t="str">
        <f>INDEX(PT_DIFFERENTIATION_NTAR,MATCH(B160,PT_DIFFERENTIATION_NTAR_ID,0))</f>
        <v/>
      </c>
      <c r="L160" t="s">
        <v>424</v>
      </c>
      <c r="AH160">
        <v>0</v>
      </c>
    </row>
    <row r="161" spans="1:34" ht="18.75" hidden="1" customHeight="1" x14ac:dyDescent="0.15">
      <c r="C161" t="s">
        <v>1269</v>
      </c>
      <c r="D161" s="1"/>
      <c r="E161" s="1"/>
      <c r="F161" s="1"/>
      <c r="G161" s="1"/>
      <c r="I161" t="s">
        <v>1268</v>
      </c>
      <c r="AH161">
        <v>0</v>
      </c>
    </row>
    <row r="162" spans="1:34" ht="0.75" hidden="1" customHeight="1" x14ac:dyDescent="0.15">
      <c r="C162" t="s">
        <v>1276</v>
      </c>
      <c r="D162" s="1"/>
      <c r="E162" s="1"/>
      <c r="F162" s="1"/>
      <c r="AH162">
        <v>0</v>
      </c>
    </row>
    <row r="163" spans="1:34" ht="18.75" hidden="1" customHeight="1" x14ac:dyDescent="0.15">
      <c r="A163" t="s">
        <v>236</v>
      </c>
      <c r="B163" t="s">
        <v>237</v>
      </c>
      <c r="D163" s="1"/>
      <c r="E163" s="1"/>
      <c r="F163" s="1" t="str">
        <f>INDEX(PT_DIFFERENTIATION_VTAR,MATCH(A163,PT_DIFFERENTIATION_VTAR_ID,0))</f>
        <v>Тарифы на услуги по передаче теплоносителя</v>
      </c>
      <c r="G163" s="1" t="str">
        <f>INDEX(PT_DIFFERENTIATION_NTAR,MATCH(B163,PT_DIFFERENTIATION_NTAR_ID,0))</f>
        <v/>
      </c>
      <c r="L163" t="s">
        <v>424</v>
      </c>
      <c r="AH163">
        <v>0</v>
      </c>
    </row>
    <row r="164" spans="1:34" ht="18.75" hidden="1" customHeight="1" x14ac:dyDescent="0.15">
      <c r="C164" t="s">
        <v>1269</v>
      </c>
      <c r="D164" s="1"/>
      <c r="E164" s="1"/>
      <c r="F164" s="1"/>
      <c r="G164" s="1"/>
      <c r="I164" t="s">
        <v>1268</v>
      </c>
      <c r="AH164">
        <v>0</v>
      </c>
    </row>
    <row r="165" spans="1:34" ht="0.75" hidden="1" customHeight="1" x14ac:dyDescent="0.15">
      <c r="C165" t="s">
        <v>1276</v>
      </c>
      <c r="D165" s="1"/>
      <c r="E165" s="1"/>
      <c r="F165" s="1"/>
      <c r="AH165">
        <v>0</v>
      </c>
    </row>
    <row r="166" spans="1:34" ht="18.75" hidden="1" customHeight="1" x14ac:dyDescent="0.15">
      <c r="A166" t="s">
        <v>242</v>
      </c>
      <c r="B166" t="s">
        <v>243</v>
      </c>
      <c r="D166" s="1"/>
      <c r="E166" s="1"/>
      <c r="F166" s="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 t="str">
        <f>INDEX(PT_DIFFERENTIATION_NTAR,MATCH(B166,PT_DIFFERENTIATION_NTAR_ID,0))</f>
        <v/>
      </c>
      <c r="L166" t="s">
        <v>424</v>
      </c>
      <c r="AH166">
        <v>0</v>
      </c>
    </row>
    <row r="167" spans="1:34" ht="18.75" hidden="1" customHeight="1" x14ac:dyDescent="0.15">
      <c r="C167" t="s">
        <v>1269</v>
      </c>
      <c r="D167" s="1"/>
      <c r="E167" s="1"/>
      <c r="F167" s="1"/>
      <c r="G167" s="1"/>
      <c r="I167" t="s">
        <v>1268</v>
      </c>
      <c r="AH167">
        <v>0</v>
      </c>
    </row>
    <row r="168" spans="1:34" ht="0.75" hidden="1" customHeight="1" x14ac:dyDescent="0.15">
      <c r="C168" t="s">
        <v>1276</v>
      </c>
      <c r="D168" s="1"/>
      <c r="E168" s="1"/>
      <c r="F168" s="1"/>
      <c r="AH168">
        <v>0</v>
      </c>
    </row>
    <row r="169" spans="1:34" ht="18.75" hidden="1" customHeight="1" x14ac:dyDescent="0.15">
      <c r="A169" t="s">
        <v>248</v>
      </c>
      <c r="B169" t="s">
        <v>249</v>
      </c>
      <c r="D169" s="1"/>
      <c r="E169" s="1"/>
      <c r="F169" s="1" t="str">
        <f>INDEX(PT_DIFFERENTIATION_VTAR,MATCH(A169,PT_DIFFERENTIATION_VTAR_ID,0))</f>
        <v>Плата за подключение (технологическое присоединение) к системе теплоснабжения</v>
      </c>
      <c r="G169" s="1" t="str">
        <f>INDEX(PT_DIFFERENTIATION_NTAR,MATCH(B169,PT_DIFFERENTIATION_NTAR_ID,0))</f>
        <v/>
      </c>
      <c r="L169" t="s">
        <v>424</v>
      </c>
      <c r="AH169">
        <v>0</v>
      </c>
    </row>
    <row r="170" spans="1:34" ht="18.75" hidden="1" customHeight="1" x14ac:dyDescent="0.15">
      <c r="C170" t="s">
        <v>1269</v>
      </c>
      <c r="D170" s="1"/>
      <c r="E170" s="1"/>
      <c r="F170" s="1"/>
      <c r="G170" s="1"/>
      <c r="I170" t="s">
        <v>1268</v>
      </c>
      <c r="AH170">
        <v>0</v>
      </c>
    </row>
    <row r="171" spans="1:34" ht="0.75" hidden="1" customHeight="1" x14ac:dyDescent="0.15">
      <c r="C171" t="s">
        <v>1276</v>
      </c>
      <c r="D171" s="1"/>
      <c r="E171" s="1"/>
      <c r="F171" s="1"/>
      <c r="AH171">
        <v>0</v>
      </c>
    </row>
    <row r="172" spans="1:34" ht="18.75" hidden="1" customHeight="1" x14ac:dyDescent="0.15">
      <c r="A172" t="s">
        <v>254</v>
      </c>
      <c r="B172" t="s">
        <v>255</v>
      </c>
      <c r="D172" s="1"/>
      <c r="E172" s="1"/>
      <c r="F172" s="1" t="str">
        <f>INDEX(PT_DIFFERENTIATION_VTAR,MATCH(A172,PT_DIFFERENTIATION_VTAR_ID,0))</f>
        <v>Плата за подключение (технологическое присоединение) к системе теплоснабжения (индивидуальная)</v>
      </c>
      <c r="G172" s="1" t="str">
        <f>INDEX(PT_DIFFERENTIATION_NTAR,MATCH(B172,PT_DIFFERENTIATION_NTAR_ID,0))</f>
        <v/>
      </c>
      <c r="L172" t="s">
        <v>424</v>
      </c>
      <c r="AH172">
        <v>0</v>
      </c>
    </row>
    <row r="173" spans="1:34" ht="18.75" hidden="1" customHeight="1" x14ac:dyDescent="0.15">
      <c r="C173" t="s">
        <v>1269</v>
      </c>
      <c r="D173" s="1"/>
      <c r="E173" s="1"/>
      <c r="F173" s="1"/>
      <c r="G173" s="1"/>
      <c r="I173" t="s">
        <v>1268</v>
      </c>
      <c r="AH173">
        <v>0</v>
      </c>
    </row>
    <row r="174" spans="1:34" ht="0.75" hidden="1" customHeight="1" x14ac:dyDescent="0.15">
      <c r="C174" t="s">
        <v>1276</v>
      </c>
      <c r="D174" s="1"/>
      <c r="E174" s="1"/>
      <c r="F174" s="1"/>
      <c r="AH174">
        <v>0</v>
      </c>
    </row>
    <row r="175" spans="1:34" ht="18.75" hidden="1" customHeight="1" x14ac:dyDescent="0.15">
      <c r="A175" t="s">
        <v>274</v>
      </c>
      <c r="B175" t="s">
        <v>275</v>
      </c>
      <c r="D175" s="1"/>
      <c r="E175" s="1"/>
      <c r="F175" s="1" t="str">
        <f>INDEX(PT_DIFFERENTIATION_VTAR,MATCH(A175,PT_DIFFERENTIATION_VTAR_ID,0))</f>
        <v>Тариф на питьевую воду (питьевое водоснабжение)</v>
      </c>
      <c r="G175" s="1" t="str">
        <f>INDEX(PT_DIFFERENTIATION_NTAR,MATCH(B175,PT_DIFFERENTIATION_NTAR_ID,0))</f>
        <v/>
      </c>
      <c r="L175" t="s">
        <v>424</v>
      </c>
      <c r="AH175">
        <v>0</v>
      </c>
    </row>
    <row r="176" spans="1:34" ht="18.75" hidden="1" customHeight="1" x14ac:dyDescent="0.15">
      <c r="C176" t="s">
        <v>1269</v>
      </c>
      <c r="D176" s="1"/>
      <c r="E176" s="1"/>
      <c r="F176" s="1"/>
      <c r="G176" s="1"/>
      <c r="I176" t="s">
        <v>1268</v>
      </c>
      <c r="AH176">
        <v>0</v>
      </c>
    </row>
    <row r="177" spans="1:34" ht="0.75" hidden="1" customHeight="1" x14ac:dyDescent="0.15">
      <c r="C177" t="s">
        <v>1276</v>
      </c>
      <c r="D177" s="1"/>
      <c r="E177" s="1"/>
      <c r="F177" s="1"/>
      <c r="AH177">
        <v>0</v>
      </c>
    </row>
    <row r="178" spans="1:34" ht="18.75" hidden="1" customHeight="1" x14ac:dyDescent="0.15">
      <c r="A178" t="s">
        <v>279</v>
      </c>
      <c r="B178" t="s">
        <v>280</v>
      </c>
      <c r="D178" s="1"/>
      <c r="E178" s="1"/>
      <c r="F178" s="1" t="str">
        <f>INDEX(PT_DIFFERENTIATION_VTAR,MATCH(A178,PT_DIFFERENTIATION_VTAR_ID,0))</f>
        <v>Тариф на техническую воду</v>
      </c>
      <c r="G178" s="1" t="str">
        <f>INDEX(PT_DIFFERENTIATION_NTAR,MATCH(B178,PT_DIFFERENTIATION_NTAR_ID,0))</f>
        <v/>
      </c>
      <c r="L178" t="s">
        <v>424</v>
      </c>
      <c r="AH178">
        <v>0</v>
      </c>
    </row>
    <row r="179" spans="1:34" ht="18.75" hidden="1" customHeight="1" x14ac:dyDescent="0.15">
      <c r="C179" t="s">
        <v>1269</v>
      </c>
      <c r="D179" s="1"/>
      <c r="E179" s="1"/>
      <c r="F179" s="1"/>
      <c r="G179" s="1"/>
      <c r="I179" t="s">
        <v>1268</v>
      </c>
      <c r="AH179">
        <v>0</v>
      </c>
    </row>
    <row r="180" spans="1:34" ht="0.75" hidden="1" customHeight="1" x14ac:dyDescent="0.15">
      <c r="C180" t="s">
        <v>1276</v>
      </c>
      <c r="D180" s="1"/>
      <c r="E180" s="1"/>
      <c r="F180" s="1"/>
      <c r="AH180">
        <v>0</v>
      </c>
    </row>
    <row r="181" spans="1:34" ht="18.75" hidden="1" customHeight="1" x14ac:dyDescent="0.15">
      <c r="A181" t="s">
        <v>284</v>
      </c>
      <c r="B181" t="s">
        <v>285</v>
      </c>
      <c r="D181" s="1"/>
      <c r="E181" s="1"/>
      <c r="F181" s="1" t="str">
        <f>INDEX(PT_DIFFERENTIATION_VTAR,MATCH(A181,PT_DIFFERENTIATION_VTAR_ID,0))</f>
        <v>Тариф на транспортировку воды</v>
      </c>
      <c r="G181" s="1" t="str">
        <f>INDEX(PT_DIFFERENTIATION_NTAR,MATCH(B181,PT_DIFFERENTIATION_NTAR_ID,0))</f>
        <v/>
      </c>
      <c r="L181" t="s">
        <v>424</v>
      </c>
      <c r="AH181">
        <v>0</v>
      </c>
    </row>
    <row r="182" spans="1:34" ht="18.75" hidden="1" customHeight="1" x14ac:dyDescent="0.15">
      <c r="C182" t="s">
        <v>1269</v>
      </c>
      <c r="D182" s="1"/>
      <c r="E182" s="1"/>
      <c r="F182" s="1"/>
      <c r="G182" s="1"/>
      <c r="I182" t="s">
        <v>1268</v>
      </c>
      <c r="AH182">
        <v>0</v>
      </c>
    </row>
    <row r="183" spans="1:34" ht="0.75" hidden="1" customHeight="1" x14ac:dyDescent="0.15">
      <c r="C183" t="s">
        <v>1276</v>
      </c>
      <c r="D183" s="1"/>
      <c r="E183" s="1"/>
      <c r="F183" s="1"/>
      <c r="AH183">
        <v>0</v>
      </c>
    </row>
    <row r="184" spans="1:34" ht="18.75" hidden="1" customHeight="1" x14ac:dyDescent="0.15">
      <c r="A184" t="s">
        <v>289</v>
      </c>
      <c r="B184" t="s">
        <v>290</v>
      </c>
      <c r="D184" s="1"/>
      <c r="E184" s="1"/>
      <c r="F184" s="1" t="str">
        <f>INDEX(PT_DIFFERENTIATION_VTAR,MATCH(A184,PT_DIFFERENTIATION_VTAR_ID,0))</f>
        <v>Тариф на подвоз воды</v>
      </c>
      <c r="G184" s="1" t="str">
        <f>INDEX(PT_DIFFERENTIATION_NTAR,MATCH(B184,PT_DIFFERENTIATION_NTAR_ID,0))</f>
        <v/>
      </c>
      <c r="L184" t="s">
        <v>424</v>
      </c>
      <c r="AH184">
        <v>0</v>
      </c>
    </row>
    <row r="185" spans="1:34" ht="18.75" hidden="1" customHeight="1" x14ac:dyDescent="0.15">
      <c r="C185" t="s">
        <v>1269</v>
      </c>
      <c r="D185" s="1"/>
      <c r="E185" s="1"/>
      <c r="F185" s="1"/>
      <c r="G185" s="1"/>
      <c r="I185" t="s">
        <v>1268</v>
      </c>
      <c r="AH185">
        <v>0</v>
      </c>
    </row>
    <row r="186" spans="1:34" ht="0.75" hidden="1" customHeight="1" x14ac:dyDescent="0.15">
      <c r="C186" t="s">
        <v>1276</v>
      </c>
      <c r="D186" s="1"/>
      <c r="E186" s="1"/>
      <c r="F186" s="1"/>
      <c r="AH186">
        <v>0</v>
      </c>
    </row>
    <row r="187" spans="1:34" ht="18.75" hidden="1" customHeight="1" x14ac:dyDescent="0.15">
      <c r="A187" t="s">
        <v>294</v>
      </c>
      <c r="B187" t="s">
        <v>295</v>
      </c>
      <c r="D187" s="1"/>
      <c r="E187" s="1"/>
      <c r="F187" s="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 t="str">
        <f>INDEX(PT_DIFFERENTIATION_NTAR,MATCH(B187,PT_DIFFERENTIATION_NTAR_ID,0))</f>
        <v/>
      </c>
      <c r="L187" t="s">
        <v>424</v>
      </c>
      <c r="AH187">
        <v>0</v>
      </c>
    </row>
    <row r="188" spans="1:34" ht="18.75" hidden="1" customHeight="1" x14ac:dyDescent="0.15">
      <c r="C188" t="s">
        <v>1269</v>
      </c>
      <c r="D188" s="1"/>
      <c r="E188" s="1"/>
      <c r="F188" s="1"/>
      <c r="G188" s="1"/>
      <c r="I188" t="s">
        <v>1268</v>
      </c>
      <c r="AH188">
        <v>0</v>
      </c>
    </row>
    <row r="189" spans="1:34" ht="0.75" hidden="1" customHeight="1" x14ac:dyDescent="0.15">
      <c r="C189" t="s">
        <v>1276</v>
      </c>
      <c r="D189" s="1"/>
      <c r="E189" s="1"/>
      <c r="F189" s="1"/>
      <c r="AH189">
        <v>0</v>
      </c>
    </row>
    <row r="190" spans="1:34" ht="18.75" hidden="1" customHeight="1" x14ac:dyDescent="0.15">
      <c r="A190" t="s">
        <v>299</v>
      </c>
      <c r="B190" t="s">
        <v>300</v>
      </c>
      <c r="D190" s="1"/>
      <c r="E190" s="1"/>
      <c r="F190" s="1" t="str">
        <f>INDEX(PT_DIFFERENTIATION_VTAR,MATCH(A190,PT_DIFFERENTIATION_VTAR_ID,0))</f>
        <v>Тариф на горячую воду (горячее водоснабжение)</v>
      </c>
      <c r="G190" s="1" t="str">
        <f>INDEX(PT_DIFFERENTIATION_NTAR,MATCH(B190,PT_DIFFERENTIATION_NTAR_ID,0))</f>
        <v/>
      </c>
      <c r="L190" t="s">
        <v>424</v>
      </c>
      <c r="AH190">
        <v>0</v>
      </c>
    </row>
    <row r="191" spans="1:34" ht="18.75" hidden="1" customHeight="1" x14ac:dyDescent="0.15">
      <c r="C191" t="s">
        <v>1269</v>
      </c>
      <c r="D191" s="1"/>
      <c r="E191" s="1"/>
      <c r="F191" s="1"/>
      <c r="G191" s="1"/>
      <c r="I191" t="s">
        <v>1268</v>
      </c>
      <c r="AH191">
        <v>0</v>
      </c>
    </row>
    <row r="192" spans="1:34" ht="0.75" hidden="1" customHeight="1" x14ac:dyDescent="0.15">
      <c r="C192" t="s">
        <v>1276</v>
      </c>
      <c r="D192" s="1"/>
      <c r="E192" s="1"/>
      <c r="F192" s="1"/>
      <c r="AH192">
        <v>0</v>
      </c>
    </row>
    <row r="193" spans="1:34" ht="18.75" hidden="1" customHeight="1" x14ac:dyDescent="0.15">
      <c r="A193" t="s">
        <v>304</v>
      </c>
      <c r="B193" t="s">
        <v>305</v>
      </c>
      <c r="D193" s="1"/>
      <c r="E193" s="1"/>
      <c r="F193" s="1" t="str">
        <f>INDEX(PT_DIFFERENTIATION_VTAR,MATCH(A193,PT_DIFFERENTIATION_VTAR_ID,0))</f>
        <v>Тариф на транспортировку горячей воды</v>
      </c>
      <c r="G193" s="1" t="str">
        <f>INDEX(PT_DIFFERENTIATION_NTAR,MATCH(B193,PT_DIFFERENTIATION_NTAR_ID,0))</f>
        <v/>
      </c>
      <c r="L193" t="s">
        <v>424</v>
      </c>
      <c r="AH193">
        <v>0</v>
      </c>
    </row>
    <row r="194" spans="1:34" ht="18.75" hidden="1" customHeight="1" x14ac:dyDescent="0.15">
      <c r="C194" t="s">
        <v>1269</v>
      </c>
      <c r="D194" s="1"/>
      <c r="E194" s="1"/>
      <c r="F194" s="1"/>
      <c r="G194" s="1"/>
      <c r="I194" t="s">
        <v>1268</v>
      </c>
      <c r="AH194">
        <v>0</v>
      </c>
    </row>
    <row r="195" spans="1:34" ht="0.75" hidden="1" customHeight="1" x14ac:dyDescent="0.15">
      <c r="C195" t="s">
        <v>1276</v>
      </c>
      <c r="D195" s="1"/>
      <c r="E195" s="1"/>
      <c r="F195" s="1"/>
      <c r="AH195">
        <v>0</v>
      </c>
    </row>
    <row r="196" spans="1:34" ht="18.75" hidden="1" customHeight="1" x14ac:dyDescent="0.15">
      <c r="A196" t="s">
        <v>309</v>
      </c>
      <c r="B196" t="s">
        <v>310</v>
      </c>
      <c r="D196" s="1"/>
      <c r="E196" s="1"/>
      <c r="F196" s="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 t="str">
        <f>INDEX(PT_DIFFERENTIATION_NTAR,MATCH(B196,PT_DIFFERENTIATION_NTAR_ID,0))</f>
        <v/>
      </c>
      <c r="L196" t="s">
        <v>424</v>
      </c>
      <c r="AH196">
        <v>0</v>
      </c>
    </row>
    <row r="197" spans="1:34" ht="18.75" hidden="1" customHeight="1" x14ac:dyDescent="0.15">
      <c r="C197" t="s">
        <v>1269</v>
      </c>
      <c r="D197" s="1"/>
      <c r="E197" s="1"/>
      <c r="F197" s="1"/>
      <c r="G197" s="1"/>
      <c r="I197" t="s">
        <v>1268</v>
      </c>
      <c r="AH197">
        <v>0</v>
      </c>
    </row>
    <row r="198" spans="1:34" ht="0.75" hidden="1" customHeight="1" x14ac:dyDescent="0.15">
      <c r="C198" t="s">
        <v>1276</v>
      </c>
      <c r="D198" s="1"/>
      <c r="E198" s="1"/>
      <c r="F198" s="1"/>
      <c r="AH198">
        <v>0</v>
      </c>
    </row>
    <row r="199" spans="1:34" ht="18.75" hidden="1" customHeight="1" x14ac:dyDescent="0.15">
      <c r="A199" t="s">
        <v>317</v>
      </c>
      <c r="B199" t="s">
        <v>318</v>
      </c>
      <c r="D199" s="1"/>
      <c r="E199" s="1"/>
      <c r="F199" s="1" t="str">
        <f>INDEX(PT_DIFFERENTIATION_VTAR,MATCH(A199,PT_DIFFERENTIATION_VTAR_ID,0))</f>
        <v>Тариф на водоотведение</v>
      </c>
      <c r="G199" s="1" t="str">
        <f>INDEX(PT_DIFFERENTIATION_NTAR,MATCH(B199,PT_DIFFERENTIATION_NTAR_ID,0))</f>
        <v>Тариф на водоотведение для потребителей КГУП "Примтеплоэнерго"</v>
      </c>
      <c r="L199" t="s">
        <v>424</v>
      </c>
      <c r="AH199">
        <v>0</v>
      </c>
    </row>
    <row r="200" spans="1:34" ht="18.75" hidden="1" customHeight="1" x14ac:dyDescent="0.15">
      <c r="C200" t="s">
        <v>1269</v>
      </c>
      <c r="D200" s="1"/>
      <c r="E200" s="1"/>
      <c r="F200" s="1"/>
      <c r="G200" s="1"/>
      <c r="I200" t="s">
        <v>1268</v>
      </c>
      <c r="AH200">
        <v>0</v>
      </c>
    </row>
    <row r="201" spans="1:34" ht="0.75" hidden="1" customHeight="1" x14ac:dyDescent="0.15">
      <c r="C201" t="s">
        <v>1276</v>
      </c>
      <c r="D201" s="1"/>
      <c r="E201" s="1"/>
      <c r="F201" s="1"/>
      <c r="AH201">
        <v>0</v>
      </c>
    </row>
    <row r="202" spans="1:34" ht="18.75" hidden="1" customHeight="1" x14ac:dyDescent="0.15">
      <c r="A202" t="s">
        <v>388</v>
      </c>
      <c r="B202" t="s">
        <v>389</v>
      </c>
      <c r="D202" s="1"/>
      <c r="E202" s="1"/>
      <c r="F202" s="1" t="str">
        <f>INDEX(PT_DIFFERENTIATION_VTAR,MATCH(A202,PT_DIFFERENTIATION_VTAR_ID,0))</f>
        <v>Тариф на транспортировку сточных вод</v>
      </c>
      <c r="G202" s="1" t="str">
        <f>INDEX(PT_DIFFERENTIATION_NTAR,MATCH(B202,PT_DIFFERENTIATION_NTAR_ID,0))</f>
        <v/>
      </c>
      <c r="L202" t="s">
        <v>424</v>
      </c>
      <c r="AH202">
        <v>0</v>
      </c>
    </row>
    <row r="203" spans="1:34" ht="18.75" hidden="1" customHeight="1" x14ac:dyDescent="0.15">
      <c r="C203" t="s">
        <v>1269</v>
      </c>
      <c r="D203" s="1"/>
      <c r="E203" s="1"/>
      <c r="F203" s="1"/>
      <c r="G203" s="1"/>
      <c r="I203" t="s">
        <v>1268</v>
      </c>
      <c r="AH203">
        <v>0</v>
      </c>
    </row>
    <row r="204" spans="1:34" ht="0.75" hidden="1" customHeight="1" x14ac:dyDescent="0.15">
      <c r="C204" t="s">
        <v>1276</v>
      </c>
      <c r="D204" s="1"/>
      <c r="E204" s="1"/>
      <c r="F204" s="1"/>
      <c r="AH204">
        <v>0</v>
      </c>
    </row>
    <row r="205" spans="1:34" ht="18.75" hidden="1" customHeight="1" x14ac:dyDescent="0.15">
      <c r="A205" t="s">
        <v>393</v>
      </c>
      <c r="B205" t="s">
        <v>394</v>
      </c>
      <c r="D205" s="1"/>
      <c r="E205" s="1"/>
      <c r="F205" s="1" t="str">
        <f>INDEX(PT_DIFFERENTIATION_VTAR,MATCH(A205,PT_DIFFERENTIATION_VTAR_ID,0))</f>
        <v>Тариф на подключение (технологическое присоединение) к централизованной системе водоотведения</v>
      </c>
      <c r="G205" s="1" t="str">
        <f>INDEX(PT_DIFFERENTIATION_NTAR,MATCH(B205,PT_DIFFERENTIATION_NTAR_ID,0))</f>
        <v/>
      </c>
      <c r="L205" t="s">
        <v>424</v>
      </c>
      <c r="AH205">
        <v>0</v>
      </c>
    </row>
    <row r="206" spans="1:34" ht="18.75" hidden="1" customHeight="1" x14ac:dyDescent="0.15">
      <c r="C206" t="s">
        <v>1269</v>
      </c>
      <c r="D206" s="1"/>
      <c r="E206" s="1"/>
      <c r="F206" s="1"/>
      <c r="G206" s="1"/>
      <c r="I206" t="s">
        <v>1268</v>
      </c>
      <c r="AH206">
        <v>0</v>
      </c>
    </row>
    <row r="207" spans="1:34" ht="1.1499999999999999" customHeight="1" x14ac:dyDescent="0.15">
      <c r="C207" t="s">
        <v>1276</v>
      </c>
      <c r="D207" s="1"/>
      <c r="E207" s="1"/>
      <c r="F207" s="1"/>
      <c r="AH207">
        <v>1</v>
      </c>
    </row>
    <row r="208" spans="1:34" ht="27.4" customHeight="1" x14ac:dyDescent="0.15">
      <c r="E208" t="s">
        <v>120</v>
      </c>
      <c r="F208" s="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
      <c r="H208" s="1"/>
      <c r="I208" s="1"/>
      <c r="J208" s="1"/>
      <c r="K208" s="1"/>
      <c r="L208" s="1"/>
      <c r="AH208">
        <v>26</v>
      </c>
    </row>
    <row r="209" spans="1:34" ht="60.75" hidden="1" customHeight="1" x14ac:dyDescent="0.15">
      <c r="A209" t="s">
        <v>206</v>
      </c>
      <c r="B209" t="s">
        <v>207</v>
      </c>
      <c r="D209" s="1"/>
      <c r="E209" s="1"/>
      <c r="F209" s="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 t="str">
        <f>INDEX(PT_DIFFERENTIATION_NTAR,MATCH(B209,PT_DIFFERENTIATION_NTAR_ID,0))</f>
        <v/>
      </c>
      <c r="L209" t="s">
        <v>424</v>
      </c>
      <c r="M209"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AH209">
        <v>0</v>
      </c>
    </row>
    <row r="210" spans="1:34" ht="18.75" hidden="1" customHeight="1" x14ac:dyDescent="0.15">
      <c r="C210" t="s">
        <v>1269</v>
      </c>
      <c r="D210" s="1"/>
      <c r="E210" s="1"/>
      <c r="F210" s="1"/>
      <c r="G210" s="1"/>
      <c r="I210" t="s">
        <v>1268</v>
      </c>
      <c r="M210" s="1"/>
      <c r="AH210">
        <v>0</v>
      </c>
    </row>
    <row r="211" spans="1:34" ht="0.75" hidden="1" customHeight="1" x14ac:dyDescent="0.15">
      <c r="C211" t="s">
        <v>1276</v>
      </c>
      <c r="D211" s="1"/>
      <c r="E211" s="1"/>
      <c r="F211" s="1"/>
      <c r="M211" s="1"/>
      <c r="AH211">
        <v>0</v>
      </c>
    </row>
    <row r="212" spans="1:34" ht="45" hidden="1" customHeight="1" x14ac:dyDescent="0.15">
      <c r="A212" t="s">
        <v>211</v>
      </c>
      <c r="B212" t="s">
        <v>212</v>
      </c>
      <c r="D212" s="1"/>
      <c r="E212" s="1"/>
      <c r="F212" s="1" t="str">
        <f>INDEX(PT_DIFFERENTIATION_VTAR,MATCH(A212,PT_DIFFERENTIATION_VTAR_ID,0))</f>
        <v/>
      </c>
      <c r="G212" s="1" t="str">
        <f>INDEX(PT_DIFFERENTIATION_NTAR,MATCH(B212,PT_DIFFERENTIATION_NTAR_ID,0))</f>
        <v/>
      </c>
      <c r="L212" t="s">
        <v>424</v>
      </c>
      <c r="M212" s="1"/>
      <c r="AH212">
        <v>0</v>
      </c>
    </row>
    <row r="213" spans="1:34" ht="18.75" hidden="1" customHeight="1" x14ac:dyDescent="0.15">
      <c r="C213" t="s">
        <v>1269</v>
      </c>
      <c r="D213" s="1"/>
      <c r="E213" s="1"/>
      <c r="F213" s="1"/>
      <c r="G213" s="1"/>
      <c r="I213" t="s">
        <v>1268</v>
      </c>
      <c r="AH213">
        <v>0</v>
      </c>
    </row>
    <row r="214" spans="1:34" ht="0.75" hidden="1" customHeight="1" x14ac:dyDescent="0.15">
      <c r="C214" t="s">
        <v>1276</v>
      </c>
      <c r="D214" s="1"/>
      <c r="E214" s="1"/>
      <c r="F214" s="1"/>
      <c r="AH214">
        <v>0</v>
      </c>
    </row>
    <row r="215" spans="1:34" ht="45" hidden="1" customHeight="1" x14ac:dyDescent="0.15">
      <c r="A215" t="s">
        <v>218</v>
      </c>
      <c r="B215" t="s">
        <v>219</v>
      </c>
      <c r="D215" s="1"/>
      <c r="E215" s="1"/>
      <c r="F215" s="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 t="str">
        <f>INDEX(PT_DIFFERENTIATION_NTAR,MATCH(B215,PT_DIFFERENTIATION_NTAR_ID,0))</f>
        <v/>
      </c>
      <c r="L215" t="s">
        <v>424</v>
      </c>
      <c r="AH215">
        <v>0</v>
      </c>
    </row>
    <row r="216" spans="1:34" ht="18.75" hidden="1" customHeight="1" x14ac:dyDescent="0.15">
      <c r="C216" t="s">
        <v>1269</v>
      </c>
      <c r="D216" s="1"/>
      <c r="E216" s="1"/>
      <c r="F216" s="1"/>
      <c r="G216" s="1"/>
      <c r="I216" t="s">
        <v>1268</v>
      </c>
      <c r="AH216">
        <v>0</v>
      </c>
    </row>
    <row r="217" spans="1:34" ht="0.75" hidden="1" customHeight="1" x14ac:dyDescent="0.15">
      <c r="C217" t="s">
        <v>1276</v>
      </c>
      <c r="D217" s="1"/>
      <c r="E217" s="1"/>
      <c r="F217" s="1"/>
      <c r="AH217">
        <v>0</v>
      </c>
    </row>
    <row r="218" spans="1:34" ht="45" hidden="1" customHeight="1" x14ac:dyDescent="0.15">
      <c r="A218" t="s">
        <v>224</v>
      </c>
      <c r="B218" t="s">
        <v>225</v>
      </c>
      <c r="D218" s="1"/>
      <c r="E218" s="1"/>
      <c r="F218" s="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 t="str">
        <f>INDEX(PT_DIFFERENTIATION_NTAR,MATCH(B218,PT_DIFFERENTIATION_NTAR_ID,0))</f>
        <v/>
      </c>
      <c r="L218" t="s">
        <v>424</v>
      </c>
      <c r="AH218">
        <v>0</v>
      </c>
    </row>
    <row r="219" spans="1:34" ht="18.75" hidden="1" customHeight="1" x14ac:dyDescent="0.15">
      <c r="C219" t="s">
        <v>1269</v>
      </c>
      <c r="D219" s="1"/>
      <c r="E219" s="1"/>
      <c r="F219" s="1"/>
      <c r="G219" s="1"/>
      <c r="I219" t="s">
        <v>1268</v>
      </c>
      <c r="AH219">
        <v>0</v>
      </c>
    </row>
    <row r="220" spans="1:34" ht="0.75" hidden="1" customHeight="1" x14ac:dyDescent="0.15">
      <c r="C220" t="s">
        <v>1276</v>
      </c>
      <c r="D220" s="1"/>
      <c r="E220" s="1"/>
      <c r="F220" s="1"/>
      <c r="AH220">
        <v>0</v>
      </c>
    </row>
    <row r="221" spans="1:34" ht="18.75" hidden="1" customHeight="1" x14ac:dyDescent="0.15">
      <c r="A221" t="s">
        <v>230</v>
      </c>
      <c r="B221" t="s">
        <v>231</v>
      </c>
      <c r="D221" s="1"/>
      <c r="E221" s="1"/>
      <c r="F221" s="1" t="str">
        <f>INDEX(PT_DIFFERENTIATION_VTAR,MATCH(A221,PT_DIFFERENTIATION_VTAR_ID,0))</f>
        <v>Тарифы на услуги по передаче тепловой энергии</v>
      </c>
      <c r="G221" s="1" t="str">
        <f>INDEX(PT_DIFFERENTIATION_NTAR,MATCH(B221,PT_DIFFERENTIATION_NTAR_ID,0))</f>
        <v/>
      </c>
      <c r="L221" t="s">
        <v>424</v>
      </c>
      <c r="AH221">
        <v>0</v>
      </c>
    </row>
    <row r="222" spans="1:34" ht="18.75" hidden="1" customHeight="1" x14ac:dyDescent="0.15">
      <c r="C222" t="s">
        <v>1269</v>
      </c>
      <c r="D222" s="1"/>
      <c r="E222" s="1"/>
      <c r="F222" s="1"/>
      <c r="G222" s="1"/>
      <c r="I222" t="s">
        <v>1268</v>
      </c>
      <c r="AH222">
        <v>0</v>
      </c>
    </row>
    <row r="223" spans="1:34" ht="0.75" hidden="1" customHeight="1" x14ac:dyDescent="0.15">
      <c r="C223" t="s">
        <v>1276</v>
      </c>
      <c r="D223" s="1"/>
      <c r="E223" s="1"/>
      <c r="F223" s="1"/>
      <c r="AH223">
        <v>0</v>
      </c>
    </row>
    <row r="224" spans="1:34" ht="18.75" hidden="1" customHeight="1" x14ac:dyDescent="0.15">
      <c r="A224" t="s">
        <v>236</v>
      </c>
      <c r="B224" t="s">
        <v>237</v>
      </c>
      <c r="D224" s="1"/>
      <c r="E224" s="1"/>
      <c r="F224" s="1" t="str">
        <f>INDEX(PT_DIFFERENTIATION_VTAR,MATCH(A224,PT_DIFFERENTIATION_VTAR_ID,0))</f>
        <v>Тарифы на услуги по передаче теплоносителя</v>
      </c>
      <c r="G224" s="1" t="str">
        <f>INDEX(PT_DIFFERENTIATION_NTAR,MATCH(B224,PT_DIFFERENTIATION_NTAR_ID,0))</f>
        <v/>
      </c>
      <c r="L224" t="s">
        <v>424</v>
      </c>
      <c r="AH224">
        <v>0</v>
      </c>
    </row>
    <row r="225" spans="1:34" ht="18.75" hidden="1" customHeight="1" x14ac:dyDescent="0.15">
      <c r="C225" t="s">
        <v>1269</v>
      </c>
      <c r="D225" s="1"/>
      <c r="E225" s="1"/>
      <c r="F225" s="1"/>
      <c r="G225" s="1"/>
      <c r="I225" t="s">
        <v>1268</v>
      </c>
      <c r="AH225">
        <v>0</v>
      </c>
    </row>
    <row r="226" spans="1:34" ht="0.75" hidden="1" customHeight="1" x14ac:dyDescent="0.15">
      <c r="C226" t="s">
        <v>1276</v>
      </c>
      <c r="D226" s="1"/>
      <c r="E226" s="1"/>
      <c r="F226" s="1"/>
      <c r="AH226">
        <v>0</v>
      </c>
    </row>
    <row r="227" spans="1:34" ht="18.75" hidden="1" customHeight="1" x14ac:dyDescent="0.15">
      <c r="A227" t="s">
        <v>242</v>
      </c>
      <c r="B227" t="s">
        <v>243</v>
      </c>
      <c r="D227" s="1"/>
      <c r="E227" s="1"/>
      <c r="F227" s="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 t="str">
        <f>INDEX(PT_DIFFERENTIATION_NTAR,MATCH(B227,PT_DIFFERENTIATION_NTAR_ID,0))</f>
        <v/>
      </c>
      <c r="L227" t="s">
        <v>424</v>
      </c>
      <c r="AH227">
        <v>0</v>
      </c>
    </row>
    <row r="228" spans="1:34" ht="18.75" hidden="1" customHeight="1" x14ac:dyDescent="0.15">
      <c r="C228" t="s">
        <v>1269</v>
      </c>
      <c r="D228" s="1"/>
      <c r="E228" s="1"/>
      <c r="F228" s="1"/>
      <c r="G228" s="1"/>
      <c r="I228" t="s">
        <v>1268</v>
      </c>
      <c r="AH228">
        <v>0</v>
      </c>
    </row>
    <row r="229" spans="1:34" ht="0.75" hidden="1" customHeight="1" x14ac:dyDescent="0.15">
      <c r="C229" t="s">
        <v>1276</v>
      </c>
      <c r="D229" s="1"/>
      <c r="E229" s="1"/>
      <c r="F229" s="1"/>
      <c r="AH229">
        <v>0</v>
      </c>
    </row>
    <row r="230" spans="1:34" ht="18.75" hidden="1" customHeight="1" x14ac:dyDescent="0.15">
      <c r="A230" t="s">
        <v>248</v>
      </c>
      <c r="B230" t="s">
        <v>249</v>
      </c>
      <c r="D230" s="1"/>
      <c r="E230" s="1"/>
      <c r="F230" s="1" t="str">
        <f>INDEX(PT_DIFFERENTIATION_VTAR,MATCH(A230,PT_DIFFERENTIATION_VTAR_ID,0))</f>
        <v>Плата за подключение (технологическое присоединение) к системе теплоснабжения</v>
      </c>
      <c r="G230" s="1" t="str">
        <f>INDEX(PT_DIFFERENTIATION_NTAR,MATCH(B230,PT_DIFFERENTIATION_NTAR_ID,0))</f>
        <v/>
      </c>
      <c r="L230" t="s">
        <v>424</v>
      </c>
      <c r="AH230">
        <v>0</v>
      </c>
    </row>
    <row r="231" spans="1:34" ht="18.75" hidden="1" customHeight="1" x14ac:dyDescent="0.15">
      <c r="C231" t="s">
        <v>1269</v>
      </c>
      <c r="D231" s="1"/>
      <c r="E231" s="1"/>
      <c r="F231" s="1"/>
      <c r="G231" s="1"/>
      <c r="I231" t="s">
        <v>1268</v>
      </c>
      <c r="AH231">
        <v>0</v>
      </c>
    </row>
    <row r="232" spans="1:34" ht="0.75" hidden="1" customHeight="1" x14ac:dyDescent="0.15">
      <c r="C232" t="s">
        <v>1276</v>
      </c>
      <c r="D232" s="1"/>
      <c r="E232" s="1"/>
      <c r="F232" s="1"/>
      <c r="AH232">
        <v>0</v>
      </c>
    </row>
    <row r="233" spans="1:34" ht="18.75" hidden="1" customHeight="1" x14ac:dyDescent="0.15">
      <c r="A233" t="s">
        <v>254</v>
      </c>
      <c r="B233" t="s">
        <v>255</v>
      </c>
      <c r="D233" s="1"/>
      <c r="E233" s="1"/>
      <c r="F233" s="1" t="str">
        <f>INDEX(PT_DIFFERENTIATION_VTAR,MATCH(A233,PT_DIFFERENTIATION_VTAR_ID,0))</f>
        <v>Плата за подключение (технологическое присоединение) к системе теплоснабжения (индивидуальная)</v>
      </c>
      <c r="G233" s="1" t="str">
        <f>INDEX(PT_DIFFERENTIATION_NTAR,MATCH(B233,PT_DIFFERENTIATION_NTAR_ID,0))</f>
        <v/>
      </c>
      <c r="L233" t="s">
        <v>424</v>
      </c>
      <c r="AH233">
        <v>0</v>
      </c>
    </row>
    <row r="234" spans="1:34" ht="18.75" hidden="1" customHeight="1" x14ac:dyDescent="0.15">
      <c r="C234" t="s">
        <v>1269</v>
      </c>
      <c r="D234" s="1"/>
      <c r="E234" s="1"/>
      <c r="F234" s="1"/>
      <c r="G234" s="1"/>
      <c r="I234" t="s">
        <v>1268</v>
      </c>
      <c r="AH234">
        <v>0</v>
      </c>
    </row>
    <row r="235" spans="1:34" ht="0.75" hidden="1" customHeight="1" x14ac:dyDescent="0.15">
      <c r="C235" t="s">
        <v>1276</v>
      </c>
      <c r="D235" s="1"/>
      <c r="E235" s="1"/>
      <c r="F235" s="1"/>
      <c r="AH235">
        <v>0</v>
      </c>
    </row>
    <row r="236" spans="1:34" ht="18.75" hidden="1" customHeight="1" x14ac:dyDescent="0.15">
      <c r="A236" t="s">
        <v>274</v>
      </c>
      <c r="B236" t="s">
        <v>275</v>
      </c>
      <c r="D236" s="1"/>
      <c r="E236" s="1"/>
      <c r="F236" s="1" t="str">
        <f>INDEX(PT_DIFFERENTIATION_VTAR,MATCH(A236,PT_DIFFERENTIATION_VTAR_ID,0))</f>
        <v>Тариф на питьевую воду (питьевое водоснабжение)</v>
      </c>
      <c r="G236" s="1" t="str">
        <f>INDEX(PT_DIFFERENTIATION_NTAR,MATCH(B236,PT_DIFFERENTIATION_NTAR_ID,0))</f>
        <v/>
      </c>
      <c r="L236" t="s">
        <v>424</v>
      </c>
      <c r="AH236">
        <v>0</v>
      </c>
    </row>
    <row r="237" spans="1:34" ht="18.75" hidden="1" customHeight="1" x14ac:dyDescent="0.15">
      <c r="C237" t="s">
        <v>1269</v>
      </c>
      <c r="D237" s="1"/>
      <c r="E237" s="1"/>
      <c r="F237" s="1"/>
      <c r="G237" s="1"/>
      <c r="I237" t="s">
        <v>1268</v>
      </c>
      <c r="AH237">
        <v>0</v>
      </c>
    </row>
    <row r="238" spans="1:34" ht="0.75" hidden="1" customHeight="1" x14ac:dyDescent="0.15">
      <c r="C238" t="s">
        <v>1276</v>
      </c>
      <c r="D238" s="1"/>
      <c r="E238" s="1"/>
      <c r="F238" s="1"/>
      <c r="AH238">
        <v>0</v>
      </c>
    </row>
    <row r="239" spans="1:34" ht="18.75" hidden="1" customHeight="1" x14ac:dyDescent="0.15">
      <c r="A239" t="s">
        <v>279</v>
      </c>
      <c r="B239" t="s">
        <v>280</v>
      </c>
      <c r="D239" s="1"/>
      <c r="E239" s="1"/>
      <c r="F239" s="1" t="str">
        <f>INDEX(PT_DIFFERENTIATION_VTAR,MATCH(A239,PT_DIFFERENTIATION_VTAR_ID,0))</f>
        <v>Тариф на техническую воду</v>
      </c>
      <c r="G239" s="1" t="str">
        <f>INDEX(PT_DIFFERENTIATION_NTAR,MATCH(B239,PT_DIFFERENTIATION_NTAR_ID,0))</f>
        <v/>
      </c>
      <c r="L239" t="s">
        <v>424</v>
      </c>
      <c r="AH239">
        <v>0</v>
      </c>
    </row>
    <row r="240" spans="1:34" ht="18.75" hidden="1" customHeight="1" x14ac:dyDescent="0.15">
      <c r="C240" t="s">
        <v>1269</v>
      </c>
      <c r="D240" s="1"/>
      <c r="E240" s="1"/>
      <c r="F240" s="1"/>
      <c r="G240" s="1"/>
      <c r="I240" t="s">
        <v>1268</v>
      </c>
      <c r="AH240">
        <v>0</v>
      </c>
    </row>
    <row r="241" spans="1:34" ht="0.75" hidden="1" customHeight="1" x14ac:dyDescent="0.15">
      <c r="C241" t="s">
        <v>1276</v>
      </c>
      <c r="D241" s="1"/>
      <c r="E241" s="1"/>
      <c r="F241" s="1"/>
      <c r="AH241">
        <v>0</v>
      </c>
    </row>
    <row r="242" spans="1:34" ht="18.75" hidden="1" customHeight="1" x14ac:dyDescent="0.15">
      <c r="A242" t="s">
        <v>284</v>
      </c>
      <c r="B242" t="s">
        <v>285</v>
      </c>
      <c r="D242" s="1"/>
      <c r="E242" s="1"/>
      <c r="F242" s="1" t="str">
        <f>INDEX(PT_DIFFERENTIATION_VTAR,MATCH(A242,PT_DIFFERENTIATION_VTAR_ID,0))</f>
        <v>Тариф на транспортировку воды</v>
      </c>
      <c r="G242" s="1" t="str">
        <f>INDEX(PT_DIFFERENTIATION_NTAR,MATCH(B242,PT_DIFFERENTIATION_NTAR_ID,0))</f>
        <v/>
      </c>
      <c r="L242" t="s">
        <v>424</v>
      </c>
      <c r="AH242">
        <v>0</v>
      </c>
    </row>
    <row r="243" spans="1:34" ht="18.75" hidden="1" customHeight="1" x14ac:dyDescent="0.15">
      <c r="C243" t="s">
        <v>1269</v>
      </c>
      <c r="D243" s="1"/>
      <c r="E243" s="1"/>
      <c r="F243" s="1"/>
      <c r="G243" s="1"/>
      <c r="I243" t="s">
        <v>1268</v>
      </c>
      <c r="AH243">
        <v>0</v>
      </c>
    </row>
    <row r="244" spans="1:34" ht="0.75" hidden="1" customHeight="1" x14ac:dyDescent="0.15">
      <c r="C244" t="s">
        <v>1276</v>
      </c>
      <c r="D244" s="1"/>
      <c r="E244" s="1"/>
      <c r="F244" s="1"/>
      <c r="AH244">
        <v>0</v>
      </c>
    </row>
    <row r="245" spans="1:34" ht="18.75" hidden="1" customHeight="1" x14ac:dyDescent="0.15">
      <c r="A245" t="s">
        <v>289</v>
      </c>
      <c r="B245" t="s">
        <v>290</v>
      </c>
      <c r="D245" s="1"/>
      <c r="E245" s="1"/>
      <c r="F245" s="1" t="str">
        <f>INDEX(PT_DIFFERENTIATION_VTAR,MATCH(A245,PT_DIFFERENTIATION_VTAR_ID,0))</f>
        <v>Тариф на подвоз воды</v>
      </c>
      <c r="G245" s="1" t="str">
        <f>INDEX(PT_DIFFERENTIATION_NTAR,MATCH(B245,PT_DIFFERENTIATION_NTAR_ID,0))</f>
        <v/>
      </c>
      <c r="L245" t="s">
        <v>424</v>
      </c>
      <c r="AH245">
        <v>0</v>
      </c>
    </row>
    <row r="246" spans="1:34" ht="18.75" hidden="1" customHeight="1" x14ac:dyDescent="0.15">
      <c r="C246" t="s">
        <v>1269</v>
      </c>
      <c r="D246" s="1"/>
      <c r="E246" s="1"/>
      <c r="F246" s="1"/>
      <c r="G246" s="1"/>
      <c r="I246" t="s">
        <v>1268</v>
      </c>
      <c r="AH246">
        <v>0</v>
      </c>
    </row>
    <row r="247" spans="1:34" ht="0.75" hidden="1" customHeight="1" x14ac:dyDescent="0.15">
      <c r="C247" t="s">
        <v>1276</v>
      </c>
      <c r="D247" s="1"/>
      <c r="E247" s="1"/>
      <c r="F247" s="1"/>
      <c r="AH247">
        <v>0</v>
      </c>
    </row>
    <row r="248" spans="1:34" ht="18.75" hidden="1" customHeight="1" x14ac:dyDescent="0.15">
      <c r="A248" t="s">
        <v>294</v>
      </c>
      <c r="B248" t="s">
        <v>295</v>
      </c>
      <c r="D248" s="1"/>
      <c r="E248" s="1"/>
      <c r="F248" s="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 t="str">
        <f>INDEX(PT_DIFFERENTIATION_NTAR,MATCH(B248,PT_DIFFERENTIATION_NTAR_ID,0))</f>
        <v/>
      </c>
      <c r="L248" t="s">
        <v>424</v>
      </c>
      <c r="AH248">
        <v>0</v>
      </c>
    </row>
    <row r="249" spans="1:34" ht="18.75" hidden="1" customHeight="1" x14ac:dyDescent="0.15">
      <c r="C249" t="s">
        <v>1269</v>
      </c>
      <c r="D249" s="1"/>
      <c r="E249" s="1"/>
      <c r="F249" s="1"/>
      <c r="G249" s="1"/>
      <c r="I249" t="s">
        <v>1268</v>
      </c>
      <c r="AH249">
        <v>0</v>
      </c>
    </row>
    <row r="250" spans="1:34" ht="0.75" hidden="1" customHeight="1" x14ac:dyDescent="0.15">
      <c r="C250" t="s">
        <v>1276</v>
      </c>
      <c r="D250" s="1"/>
      <c r="E250" s="1"/>
      <c r="F250" s="1"/>
      <c r="AH250">
        <v>0</v>
      </c>
    </row>
    <row r="251" spans="1:34" ht="18.75" hidden="1" customHeight="1" x14ac:dyDescent="0.15">
      <c r="A251" t="s">
        <v>299</v>
      </c>
      <c r="B251" t="s">
        <v>300</v>
      </c>
      <c r="D251" s="1"/>
      <c r="E251" s="1"/>
      <c r="F251" s="1" t="str">
        <f>INDEX(PT_DIFFERENTIATION_VTAR,MATCH(A251,PT_DIFFERENTIATION_VTAR_ID,0))</f>
        <v>Тариф на горячую воду (горячее водоснабжение)</v>
      </c>
      <c r="G251" s="1" t="str">
        <f>INDEX(PT_DIFFERENTIATION_NTAR,MATCH(B251,PT_DIFFERENTIATION_NTAR_ID,0))</f>
        <v/>
      </c>
      <c r="L251" t="s">
        <v>424</v>
      </c>
      <c r="AH251">
        <v>0</v>
      </c>
    </row>
    <row r="252" spans="1:34" ht="18.75" hidden="1" customHeight="1" x14ac:dyDescent="0.15">
      <c r="C252" t="s">
        <v>1269</v>
      </c>
      <c r="D252" s="1"/>
      <c r="E252" s="1"/>
      <c r="F252" s="1"/>
      <c r="G252" s="1"/>
      <c r="I252" t="s">
        <v>1268</v>
      </c>
      <c r="AH252">
        <v>0</v>
      </c>
    </row>
    <row r="253" spans="1:34" ht="0.75" hidden="1" customHeight="1" x14ac:dyDescent="0.15">
      <c r="C253" t="s">
        <v>1276</v>
      </c>
      <c r="D253" s="1"/>
      <c r="E253" s="1"/>
      <c r="F253" s="1"/>
      <c r="AH253">
        <v>0</v>
      </c>
    </row>
    <row r="254" spans="1:34" ht="18.75" hidden="1" customHeight="1" x14ac:dyDescent="0.15">
      <c r="A254" t="s">
        <v>304</v>
      </c>
      <c r="B254" t="s">
        <v>305</v>
      </c>
      <c r="D254" s="1"/>
      <c r="E254" s="1"/>
      <c r="F254" s="1" t="str">
        <f>INDEX(PT_DIFFERENTIATION_VTAR,MATCH(A254,PT_DIFFERENTIATION_VTAR_ID,0))</f>
        <v>Тариф на транспортировку горячей воды</v>
      </c>
      <c r="G254" s="1" t="str">
        <f>INDEX(PT_DIFFERENTIATION_NTAR,MATCH(B254,PT_DIFFERENTIATION_NTAR_ID,0))</f>
        <v/>
      </c>
      <c r="L254" t="s">
        <v>424</v>
      </c>
      <c r="AH254">
        <v>0</v>
      </c>
    </row>
    <row r="255" spans="1:34" ht="18.75" hidden="1" customHeight="1" x14ac:dyDescent="0.15">
      <c r="C255" t="s">
        <v>1269</v>
      </c>
      <c r="D255" s="1"/>
      <c r="E255" s="1"/>
      <c r="F255" s="1"/>
      <c r="G255" s="1"/>
      <c r="I255" t="s">
        <v>1268</v>
      </c>
      <c r="AH255">
        <v>0</v>
      </c>
    </row>
    <row r="256" spans="1:34" ht="0.75" hidden="1" customHeight="1" x14ac:dyDescent="0.15">
      <c r="C256" t="s">
        <v>1276</v>
      </c>
      <c r="D256" s="1"/>
      <c r="E256" s="1"/>
      <c r="F256" s="1"/>
      <c r="AH256">
        <v>0</v>
      </c>
    </row>
    <row r="257" spans="1:34" ht="18.75" hidden="1" customHeight="1" x14ac:dyDescent="0.15">
      <c r="A257" t="s">
        <v>309</v>
      </c>
      <c r="B257" t="s">
        <v>310</v>
      </c>
      <c r="D257" s="1"/>
      <c r="E257" s="1"/>
      <c r="F257" s="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 t="str">
        <f>INDEX(PT_DIFFERENTIATION_NTAR,MATCH(B257,PT_DIFFERENTIATION_NTAR_ID,0))</f>
        <v/>
      </c>
      <c r="L257" t="s">
        <v>424</v>
      </c>
      <c r="AH257">
        <v>0</v>
      </c>
    </row>
    <row r="258" spans="1:34" ht="18.75" hidden="1" customHeight="1" x14ac:dyDescent="0.15">
      <c r="C258" t="s">
        <v>1269</v>
      </c>
      <c r="D258" s="1"/>
      <c r="E258" s="1"/>
      <c r="F258" s="1"/>
      <c r="G258" s="1"/>
      <c r="I258" t="s">
        <v>1268</v>
      </c>
      <c r="AH258">
        <v>0</v>
      </c>
    </row>
    <row r="259" spans="1:34" ht="0.75" hidden="1" customHeight="1" x14ac:dyDescent="0.15">
      <c r="C259" t="s">
        <v>1276</v>
      </c>
      <c r="D259" s="1"/>
      <c r="E259" s="1"/>
      <c r="F259" s="1"/>
      <c r="AH259">
        <v>0</v>
      </c>
    </row>
    <row r="260" spans="1:34" ht="18.75" hidden="1" customHeight="1" x14ac:dyDescent="0.15">
      <c r="A260" t="s">
        <v>317</v>
      </c>
      <c r="B260" t="s">
        <v>318</v>
      </c>
      <c r="D260" s="1"/>
      <c r="E260" s="1"/>
      <c r="F260" s="1" t="str">
        <f>INDEX(PT_DIFFERENTIATION_VTAR,MATCH(A260,PT_DIFFERENTIATION_VTAR_ID,0))</f>
        <v>Тариф на водоотведение</v>
      </c>
      <c r="G260" s="1" t="str">
        <f>INDEX(PT_DIFFERENTIATION_NTAR,MATCH(B260,PT_DIFFERENTIATION_NTAR_ID,0))</f>
        <v>Тариф на водоотведение для потребителей КГУП "Примтеплоэнерго"</v>
      </c>
      <c r="L260" t="s">
        <v>424</v>
      </c>
      <c r="AH260">
        <v>0</v>
      </c>
    </row>
    <row r="261" spans="1:34" ht="18.75" hidden="1" customHeight="1" x14ac:dyDescent="0.15">
      <c r="C261" t="s">
        <v>1269</v>
      </c>
      <c r="D261" s="1"/>
      <c r="E261" s="1"/>
      <c r="F261" s="1"/>
      <c r="G261" s="1"/>
      <c r="I261" t="s">
        <v>1268</v>
      </c>
      <c r="AH261">
        <v>0</v>
      </c>
    </row>
    <row r="262" spans="1:34" ht="0.75" hidden="1" customHeight="1" x14ac:dyDescent="0.15">
      <c r="C262" t="s">
        <v>1276</v>
      </c>
      <c r="D262" s="1"/>
      <c r="E262" s="1"/>
      <c r="F262" s="1"/>
      <c r="AH262">
        <v>0</v>
      </c>
    </row>
    <row r="263" spans="1:34" ht="18.75" hidden="1" customHeight="1" x14ac:dyDescent="0.15">
      <c r="A263" t="s">
        <v>388</v>
      </c>
      <c r="B263" t="s">
        <v>389</v>
      </c>
      <c r="D263" s="1"/>
      <c r="E263" s="1"/>
      <c r="F263" s="1" t="str">
        <f>INDEX(PT_DIFFERENTIATION_VTAR,MATCH(A263,PT_DIFFERENTIATION_VTAR_ID,0))</f>
        <v>Тариф на транспортировку сточных вод</v>
      </c>
      <c r="G263" s="1" t="str">
        <f>INDEX(PT_DIFFERENTIATION_NTAR,MATCH(B263,PT_DIFFERENTIATION_NTAR_ID,0))</f>
        <v/>
      </c>
      <c r="L263" t="s">
        <v>424</v>
      </c>
      <c r="AH263">
        <v>0</v>
      </c>
    </row>
    <row r="264" spans="1:34" ht="18.75" hidden="1" customHeight="1" x14ac:dyDescent="0.15">
      <c r="C264" t="s">
        <v>1269</v>
      </c>
      <c r="D264" s="1"/>
      <c r="E264" s="1"/>
      <c r="F264" s="1"/>
      <c r="G264" s="1"/>
      <c r="I264" t="s">
        <v>1268</v>
      </c>
      <c r="AH264">
        <v>0</v>
      </c>
    </row>
    <row r="265" spans="1:34" ht="0.75" hidden="1" customHeight="1" x14ac:dyDescent="0.15">
      <c r="C265" t="s">
        <v>1276</v>
      </c>
      <c r="D265" s="1"/>
      <c r="E265" s="1"/>
      <c r="F265" s="1"/>
      <c r="AH265">
        <v>0</v>
      </c>
    </row>
    <row r="266" spans="1:34" ht="18.75" hidden="1" customHeight="1" x14ac:dyDescent="0.15">
      <c r="A266" t="s">
        <v>393</v>
      </c>
      <c r="B266" t="s">
        <v>394</v>
      </c>
      <c r="D266" s="1"/>
      <c r="E266" s="1"/>
      <c r="F266" s="1" t="str">
        <f>INDEX(PT_DIFFERENTIATION_VTAR,MATCH(A266,PT_DIFFERENTIATION_VTAR_ID,0))</f>
        <v>Тариф на подключение (технологическое присоединение) к централизованной системе водоотведения</v>
      </c>
      <c r="G266" s="1" t="str">
        <f>INDEX(PT_DIFFERENTIATION_NTAR,MATCH(B266,PT_DIFFERENTIATION_NTAR_ID,0))</f>
        <v/>
      </c>
      <c r="L266" t="s">
        <v>424</v>
      </c>
      <c r="AH266">
        <v>0</v>
      </c>
    </row>
    <row r="267" spans="1:34" ht="18.75" hidden="1" customHeight="1" x14ac:dyDescent="0.15">
      <c r="C267" t="s">
        <v>1269</v>
      </c>
      <c r="D267" s="1"/>
      <c r="E267" s="1"/>
      <c r="F267" s="1"/>
      <c r="G267" s="1"/>
      <c r="I267" t="s">
        <v>1268</v>
      </c>
      <c r="AH267">
        <v>0</v>
      </c>
    </row>
    <row r="268" spans="1:34" ht="1.1499999999999999" customHeight="1" x14ac:dyDescent="0.15">
      <c r="C268" t="s">
        <v>1276</v>
      </c>
      <c r="D268" s="1"/>
      <c r="E268" s="1"/>
      <c r="F268" s="1"/>
      <c r="AH268">
        <v>1</v>
      </c>
    </row>
    <row r="269" spans="1:34" ht="27.4" customHeight="1" x14ac:dyDescent="0.15">
      <c r="E269" t="s">
        <v>94</v>
      </c>
      <c r="F269" s="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
      <c r="H269" s="1"/>
      <c r="I269" s="1"/>
      <c r="J269" s="1"/>
      <c r="K269" s="1"/>
      <c r="L269" s="1"/>
      <c r="AH269">
        <v>26</v>
      </c>
    </row>
    <row r="270" spans="1:34" ht="60.75" hidden="1" customHeight="1" x14ac:dyDescent="0.15">
      <c r="A270" t="s">
        <v>206</v>
      </c>
      <c r="B270" t="s">
        <v>207</v>
      </c>
      <c r="D270" s="1"/>
      <c r="E270" s="1"/>
      <c r="F270" s="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 t="str">
        <f>INDEX(PT_DIFFERENTIATION_NTAR,MATCH(B270,PT_DIFFERENTIATION_NTAR_ID,0))</f>
        <v/>
      </c>
      <c r="L270" t="s">
        <v>424</v>
      </c>
      <c r="M270" s="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v>0</v>
      </c>
    </row>
    <row r="271" spans="1:34" ht="18.75" hidden="1" customHeight="1" x14ac:dyDescent="0.15">
      <c r="C271" t="s">
        <v>1269</v>
      </c>
      <c r="D271" s="1"/>
      <c r="E271" s="1"/>
      <c r="F271" s="1"/>
      <c r="G271" s="1"/>
      <c r="I271" t="s">
        <v>1268</v>
      </c>
      <c r="M271" s="1"/>
      <c r="AH271">
        <v>0</v>
      </c>
    </row>
    <row r="272" spans="1:34" ht="0.75" hidden="1" customHeight="1" x14ac:dyDescent="0.15">
      <c r="C272" t="s">
        <v>1276</v>
      </c>
      <c r="D272" s="1"/>
      <c r="E272" s="1"/>
      <c r="F272" s="1"/>
      <c r="M272" s="1"/>
      <c r="AH272">
        <v>0</v>
      </c>
    </row>
    <row r="273" spans="1:34" ht="45" hidden="1" customHeight="1" x14ac:dyDescent="0.15">
      <c r="A273" t="s">
        <v>211</v>
      </c>
      <c r="B273" t="s">
        <v>212</v>
      </c>
      <c r="D273" s="1"/>
      <c r="E273" s="1"/>
      <c r="F273" s="1" t="str">
        <f>INDEX(PT_DIFFERENTIATION_VTAR,MATCH(A273,PT_DIFFERENTIATION_VTAR_ID,0))</f>
        <v/>
      </c>
      <c r="G273" s="1" t="str">
        <f>INDEX(PT_DIFFERENTIATION_NTAR,MATCH(B273,PT_DIFFERENTIATION_NTAR_ID,0))</f>
        <v/>
      </c>
      <c r="L273" t="s">
        <v>424</v>
      </c>
      <c r="M273" s="1"/>
      <c r="AH273">
        <v>0</v>
      </c>
    </row>
    <row r="274" spans="1:34" ht="18.75" hidden="1" customHeight="1" x14ac:dyDescent="0.15">
      <c r="C274" t="s">
        <v>1269</v>
      </c>
      <c r="D274" s="1"/>
      <c r="E274" s="1"/>
      <c r="F274" s="1"/>
      <c r="G274" s="1"/>
      <c r="I274" t="s">
        <v>1268</v>
      </c>
      <c r="AH274">
        <v>0</v>
      </c>
    </row>
    <row r="275" spans="1:34" ht="0.75" hidden="1" customHeight="1" x14ac:dyDescent="0.15">
      <c r="C275" t="s">
        <v>1276</v>
      </c>
      <c r="D275" s="1"/>
      <c r="E275" s="1"/>
      <c r="F275" s="1"/>
      <c r="AH275">
        <v>0</v>
      </c>
    </row>
    <row r="276" spans="1:34" ht="45" hidden="1" customHeight="1" x14ac:dyDescent="0.15">
      <c r="A276" t="s">
        <v>218</v>
      </c>
      <c r="B276" t="s">
        <v>219</v>
      </c>
      <c r="D276" s="1"/>
      <c r="E276" s="1"/>
      <c r="F276" s="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 t="str">
        <f>INDEX(PT_DIFFERENTIATION_NTAR,MATCH(B276,PT_DIFFERENTIATION_NTAR_ID,0))</f>
        <v/>
      </c>
      <c r="L276" t="s">
        <v>424</v>
      </c>
      <c r="AH276">
        <v>0</v>
      </c>
    </row>
    <row r="277" spans="1:34" ht="18.75" hidden="1" customHeight="1" x14ac:dyDescent="0.15">
      <c r="C277" t="s">
        <v>1269</v>
      </c>
      <c r="D277" s="1"/>
      <c r="E277" s="1"/>
      <c r="F277" s="1"/>
      <c r="G277" s="1"/>
      <c r="I277" t="s">
        <v>1268</v>
      </c>
      <c r="AH277">
        <v>0</v>
      </c>
    </row>
    <row r="278" spans="1:34" ht="0.75" hidden="1" customHeight="1" x14ac:dyDescent="0.15">
      <c r="C278" t="s">
        <v>1276</v>
      </c>
      <c r="D278" s="1"/>
      <c r="E278" s="1"/>
      <c r="F278" s="1"/>
      <c r="AH278">
        <v>0</v>
      </c>
    </row>
    <row r="279" spans="1:34" ht="45" hidden="1" customHeight="1" x14ac:dyDescent="0.15">
      <c r="A279" t="s">
        <v>224</v>
      </c>
      <c r="B279" t="s">
        <v>225</v>
      </c>
      <c r="D279" s="1"/>
      <c r="E279" s="1"/>
      <c r="F279" s="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 t="str">
        <f>INDEX(PT_DIFFERENTIATION_NTAR,MATCH(B279,PT_DIFFERENTIATION_NTAR_ID,0))</f>
        <v/>
      </c>
      <c r="L279" t="s">
        <v>424</v>
      </c>
      <c r="AH279">
        <v>0</v>
      </c>
    </row>
    <row r="280" spans="1:34" ht="18.75" hidden="1" customHeight="1" x14ac:dyDescent="0.15">
      <c r="C280" t="s">
        <v>1269</v>
      </c>
      <c r="D280" s="1"/>
      <c r="E280" s="1"/>
      <c r="F280" s="1"/>
      <c r="G280" s="1"/>
      <c r="I280" t="s">
        <v>1268</v>
      </c>
      <c r="AH280">
        <v>0</v>
      </c>
    </row>
    <row r="281" spans="1:34" ht="0.75" hidden="1" customHeight="1" x14ac:dyDescent="0.15">
      <c r="C281" t="s">
        <v>1276</v>
      </c>
      <c r="D281" s="1"/>
      <c r="E281" s="1"/>
      <c r="F281" s="1"/>
      <c r="AH281">
        <v>0</v>
      </c>
    </row>
    <row r="282" spans="1:34" ht="18.75" hidden="1" customHeight="1" x14ac:dyDescent="0.15">
      <c r="A282" t="s">
        <v>230</v>
      </c>
      <c r="B282" t="s">
        <v>231</v>
      </c>
      <c r="D282" s="1"/>
      <c r="E282" s="1"/>
      <c r="F282" s="1" t="str">
        <f>INDEX(PT_DIFFERENTIATION_VTAR,MATCH(A282,PT_DIFFERENTIATION_VTAR_ID,0))</f>
        <v>Тарифы на услуги по передаче тепловой энергии</v>
      </c>
      <c r="G282" s="1" t="str">
        <f>INDEX(PT_DIFFERENTIATION_NTAR,MATCH(B282,PT_DIFFERENTIATION_NTAR_ID,0))</f>
        <v/>
      </c>
      <c r="L282" t="s">
        <v>424</v>
      </c>
      <c r="AH282">
        <v>0</v>
      </c>
    </row>
    <row r="283" spans="1:34" ht="18.75" hidden="1" customHeight="1" x14ac:dyDescent="0.15">
      <c r="C283" t="s">
        <v>1269</v>
      </c>
      <c r="D283" s="1"/>
      <c r="E283" s="1"/>
      <c r="F283" s="1"/>
      <c r="G283" s="1"/>
      <c r="I283" t="s">
        <v>1268</v>
      </c>
      <c r="AH283">
        <v>0</v>
      </c>
    </row>
    <row r="284" spans="1:34" ht="0.75" hidden="1" customHeight="1" x14ac:dyDescent="0.15">
      <c r="C284" t="s">
        <v>1276</v>
      </c>
      <c r="D284" s="1"/>
      <c r="E284" s="1"/>
      <c r="F284" s="1"/>
      <c r="AH284">
        <v>0</v>
      </c>
    </row>
    <row r="285" spans="1:34" ht="18.75" hidden="1" customHeight="1" x14ac:dyDescent="0.15">
      <c r="A285" t="s">
        <v>236</v>
      </c>
      <c r="B285" t="s">
        <v>237</v>
      </c>
      <c r="D285" s="1"/>
      <c r="E285" s="1"/>
      <c r="F285" s="1" t="str">
        <f>INDEX(PT_DIFFERENTIATION_VTAR,MATCH(A285,PT_DIFFERENTIATION_VTAR_ID,0))</f>
        <v>Тарифы на услуги по передаче теплоносителя</v>
      </c>
      <c r="G285" s="1" t="str">
        <f>INDEX(PT_DIFFERENTIATION_NTAR,MATCH(B285,PT_DIFFERENTIATION_NTAR_ID,0))</f>
        <v/>
      </c>
      <c r="L285" t="s">
        <v>424</v>
      </c>
      <c r="AH285">
        <v>0</v>
      </c>
    </row>
    <row r="286" spans="1:34" ht="18.75" hidden="1" customHeight="1" x14ac:dyDescent="0.15">
      <c r="C286" t="s">
        <v>1269</v>
      </c>
      <c r="D286" s="1"/>
      <c r="E286" s="1"/>
      <c r="F286" s="1"/>
      <c r="G286" s="1"/>
      <c r="I286" t="s">
        <v>1268</v>
      </c>
      <c r="AH286">
        <v>0</v>
      </c>
    </row>
    <row r="287" spans="1:34" ht="0.75" hidden="1" customHeight="1" x14ac:dyDescent="0.15">
      <c r="C287" t="s">
        <v>1276</v>
      </c>
      <c r="D287" s="1"/>
      <c r="E287" s="1"/>
      <c r="F287" s="1"/>
      <c r="AH287">
        <v>0</v>
      </c>
    </row>
    <row r="288" spans="1:34" ht="18.75" hidden="1" customHeight="1" x14ac:dyDescent="0.15">
      <c r="A288" t="s">
        <v>242</v>
      </c>
      <c r="B288" t="s">
        <v>243</v>
      </c>
      <c r="D288" s="1"/>
      <c r="E288" s="1"/>
      <c r="F288" s="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 t="str">
        <f>INDEX(PT_DIFFERENTIATION_NTAR,MATCH(B288,PT_DIFFERENTIATION_NTAR_ID,0))</f>
        <v/>
      </c>
      <c r="L288" t="s">
        <v>424</v>
      </c>
      <c r="AH288">
        <v>0</v>
      </c>
    </row>
    <row r="289" spans="1:34" ht="18.75" hidden="1" customHeight="1" x14ac:dyDescent="0.15">
      <c r="C289" t="s">
        <v>1269</v>
      </c>
      <c r="D289" s="1"/>
      <c r="E289" s="1"/>
      <c r="F289" s="1"/>
      <c r="G289" s="1"/>
      <c r="I289" t="s">
        <v>1268</v>
      </c>
      <c r="AH289">
        <v>0</v>
      </c>
    </row>
    <row r="290" spans="1:34" ht="0.75" hidden="1" customHeight="1" x14ac:dyDescent="0.15">
      <c r="C290" t="s">
        <v>1276</v>
      </c>
      <c r="D290" s="1"/>
      <c r="E290" s="1"/>
      <c r="F290" s="1"/>
      <c r="AH290">
        <v>0</v>
      </c>
    </row>
    <row r="291" spans="1:34" ht="18.75" hidden="1" customHeight="1" x14ac:dyDescent="0.15">
      <c r="A291" t="s">
        <v>248</v>
      </c>
      <c r="B291" t="s">
        <v>249</v>
      </c>
      <c r="D291" s="1"/>
      <c r="E291" s="1"/>
      <c r="F291" s="1" t="str">
        <f>INDEX(PT_DIFFERENTIATION_VTAR,MATCH(A291,PT_DIFFERENTIATION_VTAR_ID,0))</f>
        <v>Плата за подключение (технологическое присоединение) к системе теплоснабжения</v>
      </c>
      <c r="G291" s="1" t="str">
        <f>INDEX(PT_DIFFERENTIATION_NTAR,MATCH(B291,PT_DIFFERENTIATION_NTAR_ID,0))</f>
        <v/>
      </c>
      <c r="L291" t="s">
        <v>424</v>
      </c>
      <c r="AH291">
        <v>0</v>
      </c>
    </row>
    <row r="292" spans="1:34" ht="18.75" hidden="1" customHeight="1" x14ac:dyDescent="0.15">
      <c r="C292" t="s">
        <v>1269</v>
      </c>
      <c r="D292" s="1"/>
      <c r="E292" s="1"/>
      <c r="F292" s="1"/>
      <c r="G292" s="1"/>
      <c r="I292" t="s">
        <v>1268</v>
      </c>
      <c r="AH292">
        <v>0</v>
      </c>
    </row>
    <row r="293" spans="1:34" ht="0.75" hidden="1" customHeight="1" x14ac:dyDescent="0.15">
      <c r="C293" t="s">
        <v>1276</v>
      </c>
      <c r="D293" s="1"/>
      <c r="E293" s="1"/>
      <c r="F293" s="1"/>
      <c r="AH293">
        <v>0</v>
      </c>
    </row>
    <row r="294" spans="1:34" ht="18.75" hidden="1" customHeight="1" x14ac:dyDescent="0.15">
      <c r="A294" t="s">
        <v>254</v>
      </c>
      <c r="B294" t="s">
        <v>255</v>
      </c>
      <c r="D294" s="1"/>
      <c r="E294" s="1"/>
      <c r="F294" s="1" t="str">
        <f>INDEX(PT_DIFFERENTIATION_VTAR,MATCH(A294,PT_DIFFERENTIATION_VTAR_ID,0))</f>
        <v>Плата за подключение (технологическое присоединение) к системе теплоснабжения (индивидуальная)</v>
      </c>
      <c r="G294" s="1" t="str">
        <f>INDEX(PT_DIFFERENTIATION_NTAR,MATCH(B294,PT_DIFFERENTIATION_NTAR_ID,0))</f>
        <v/>
      </c>
      <c r="L294" t="s">
        <v>424</v>
      </c>
      <c r="AH294">
        <v>0</v>
      </c>
    </row>
    <row r="295" spans="1:34" ht="18.75" hidden="1" customHeight="1" x14ac:dyDescent="0.15">
      <c r="C295" t="s">
        <v>1269</v>
      </c>
      <c r="D295" s="1"/>
      <c r="E295" s="1"/>
      <c r="F295" s="1"/>
      <c r="G295" s="1"/>
      <c r="I295" t="s">
        <v>1268</v>
      </c>
      <c r="AH295">
        <v>0</v>
      </c>
    </row>
    <row r="296" spans="1:34" ht="0.75" hidden="1" customHeight="1" x14ac:dyDescent="0.15">
      <c r="C296" t="s">
        <v>1276</v>
      </c>
      <c r="D296" s="1"/>
      <c r="E296" s="1"/>
      <c r="F296" s="1"/>
      <c r="AH296">
        <v>0</v>
      </c>
    </row>
    <row r="297" spans="1:34" ht="18.75" hidden="1" customHeight="1" x14ac:dyDescent="0.15">
      <c r="A297" t="s">
        <v>274</v>
      </c>
      <c r="B297" t="s">
        <v>275</v>
      </c>
      <c r="D297" s="1"/>
      <c r="E297" s="1"/>
      <c r="F297" s="1" t="str">
        <f>INDEX(PT_DIFFERENTIATION_VTAR,MATCH(A297,PT_DIFFERENTIATION_VTAR_ID,0))</f>
        <v>Тариф на питьевую воду (питьевое водоснабжение)</v>
      </c>
      <c r="G297" s="1" t="str">
        <f>INDEX(PT_DIFFERENTIATION_NTAR,MATCH(B297,PT_DIFFERENTIATION_NTAR_ID,0))</f>
        <v/>
      </c>
      <c r="L297" t="s">
        <v>424</v>
      </c>
      <c r="AH297">
        <v>0</v>
      </c>
    </row>
    <row r="298" spans="1:34" ht="18.75" hidden="1" customHeight="1" x14ac:dyDescent="0.15">
      <c r="C298" t="s">
        <v>1269</v>
      </c>
      <c r="D298" s="1"/>
      <c r="E298" s="1"/>
      <c r="F298" s="1"/>
      <c r="G298" s="1"/>
      <c r="I298" t="s">
        <v>1268</v>
      </c>
      <c r="AH298">
        <v>0</v>
      </c>
    </row>
    <row r="299" spans="1:34" ht="0.75" hidden="1" customHeight="1" x14ac:dyDescent="0.15">
      <c r="C299" t="s">
        <v>1276</v>
      </c>
      <c r="D299" s="1"/>
      <c r="E299" s="1"/>
      <c r="F299" s="1"/>
      <c r="AH299">
        <v>0</v>
      </c>
    </row>
    <row r="300" spans="1:34" ht="18.75" hidden="1" customHeight="1" x14ac:dyDescent="0.15">
      <c r="A300" t="s">
        <v>279</v>
      </c>
      <c r="B300" t="s">
        <v>280</v>
      </c>
      <c r="D300" s="1"/>
      <c r="E300" s="1"/>
      <c r="F300" s="1" t="str">
        <f>INDEX(PT_DIFFERENTIATION_VTAR,MATCH(A300,PT_DIFFERENTIATION_VTAR_ID,0))</f>
        <v>Тариф на техническую воду</v>
      </c>
      <c r="G300" s="1" t="str">
        <f>INDEX(PT_DIFFERENTIATION_NTAR,MATCH(B300,PT_DIFFERENTIATION_NTAR_ID,0))</f>
        <v/>
      </c>
      <c r="L300" t="s">
        <v>424</v>
      </c>
      <c r="AH300">
        <v>0</v>
      </c>
    </row>
    <row r="301" spans="1:34" ht="18.75" hidden="1" customHeight="1" x14ac:dyDescent="0.15">
      <c r="C301" t="s">
        <v>1269</v>
      </c>
      <c r="D301" s="1"/>
      <c r="E301" s="1"/>
      <c r="F301" s="1"/>
      <c r="G301" s="1"/>
      <c r="I301" t="s">
        <v>1268</v>
      </c>
      <c r="AH301">
        <v>0</v>
      </c>
    </row>
    <row r="302" spans="1:34" ht="0.75" hidden="1" customHeight="1" x14ac:dyDescent="0.15">
      <c r="C302" t="s">
        <v>1276</v>
      </c>
      <c r="D302" s="1"/>
      <c r="E302" s="1"/>
      <c r="F302" s="1"/>
      <c r="AH302">
        <v>0</v>
      </c>
    </row>
    <row r="303" spans="1:34" ht="18.75" hidden="1" customHeight="1" x14ac:dyDescent="0.15">
      <c r="A303" t="s">
        <v>284</v>
      </c>
      <c r="B303" t="s">
        <v>285</v>
      </c>
      <c r="D303" s="1"/>
      <c r="E303" s="1"/>
      <c r="F303" s="1" t="str">
        <f>INDEX(PT_DIFFERENTIATION_VTAR,MATCH(A303,PT_DIFFERENTIATION_VTAR_ID,0))</f>
        <v>Тариф на транспортировку воды</v>
      </c>
      <c r="G303" s="1" t="str">
        <f>INDEX(PT_DIFFERENTIATION_NTAR,MATCH(B303,PT_DIFFERENTIATION_NTAR_ID,0))</f>
        <v/>
      </c>
      <c r="L303" t="s">
        <v>424</v>
      </c>
      <c r="AH303">
        <v>0</v>
      </c>
    </row>
    <row r="304" spans="1:34" ht="18.75" hidden="1" customHeight="1" x14ac:dyDescent="0.15">
      <c r="C304" t="s">
        <v>1269</v>
      </c>
      <c r="D304" s="1"/>
      <c r="E304" s="1"/>
      <c r="F304" s="1"/>
      <c r="G304" s="1"/>
      <c r="I304" t="s">
        <v>1268</v>
      </c>
      <c r="AH304">
        <v>0</v>
      </c>
    </row>
    <row r="305" spans="1:34" ht="0.75" hidden="1" customHeight="1" x14ac:dyDescent="0.15">
      <c r="C305" t="s">
        <v>1276</v>
      </c>
      <c r="D305" s="1"/>
      <c r="E305" s="1"/>
      <c r="F305" s="1"/>
      <c r="AH305">
        <v>0</v>
      </c>
    </row>
    <row r="306" spans="1:34" ht="18.75" hidden="1" customHeight="1" x14ac:dyDescent="0.15">
      <c r="A306" t="s">
        <v>289</v>
      </c>
      <c r="B306" t="s">
        <v>290</v>
      </c>
      <c r="D306" s="1"/>
      <c r="E306" s="1"/>
      <c r="F306" s="1" t="str">
        <f>INDEX(PT_DIFFERENTIATION_VTAR,MATCH(A306,PT_DIFFERENTIATION_VTAR_ID,0))</f>
        <v>Тариф на подвоз воды</v>
      </c>
      <c r="G306" s="1" t="str">
        <f>INDEX(PT_DIFFERENTIATION_NTAR,MATCH(B306,PT_DIFFERENTIATION_NTAR_ID,0))</f>
        <v/>
      </c>
      <c r="L306" t="s">
        <v>424</v>
      </c>
      <c r="AH306">
        <v>0</v>
      </c>
    </row>
    <row r="307" spans="1:34" ht="18.75" hidden="1" customHeight="1" x14ac:dyDescent="0.15">
      <c r="C307" t="s">
        <v>1269</v>
      </c>
      <c r="D307" s="1"/>
      <c r="E307" s="1"/>
      <c r="F307" s="1"/>
      <c r="G307" s="1"/>
      <c r="I307" t="s">
        <v>1268</v>
      </c>
      <c r="AH307">
        <v>0</v>
      </c>
    </row>
    <row r="308" spans="1:34" ht="0.75" hidden="1" customHeight="1" x14ac:dyDescent="0.15">
      <c r="C308" t="s">
        <v>1276</v>
      </c>
      <c r="D308" s="1"/>
      <c r="E308" s="1"/>
      <c r="F308" s="1"/>
      <c r="AH308">
        <v>0</v>
      </c>
    </row>
    <row r="309" spans="1:34" ht="18.75" hidden="1" customHeight="1" x14ac:dyDescent="0.15">
      <c r="A309" t="s">
        <v>294</v>
      </c>
      <c r="B309" t="s">
        <v>295</v>
      </c>
      <c r="D309" s="1"/>
      <c r="E309" s="1"/>
      <c r="F309" s="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 t="str">
        <f>INDEX(PT_DIFFERENTIATION_NTAR,MATCH(B309,PT_DIFFERENTIATION_NTAR_ID,0))</f>
        <v/>
      </c>
      <c r="L309" t="s">
        <v>424</v>
      </c>
      <c r="AH309">
        <v>0</v>
      </c>
    </row>
    <row r="310" spans="1:34" ht="18.75" hidden="1" customHeight="1" x14ac:dyDescent="0.15">
      <c r="C310" t="s">
        <v>1269</v>
      </c>
      <c r="D310" s="1"/>
      <c r="E310" s="1"/>
      <c r="F310" s="1"/>
      <c r="G310" s="1"/>
      <c r="I310" t="s">
        <v>1268</v>
      </c>
      <c r="AH310">
        <v>0</v>
      </c>
    </row>
    <row r="311" spans="1:34" ht="0.75" hidden="1" customHeight="1" x14ac:dyDescent="0.15">
      <c r="C311" t="s">
        <v>1276</v>
      </c>
      <c r="D311" s="1"/>
      <c r="E311" s="1"/>
      <c r="F311" s="1"/>
      <c r="AH311">
        <v>0</v>
      </c>
    </row>
    <row r="312" spans="1:34" ht="18.75" hidden="1" customHeight="1" x14ac:dyDescent="0.15">
      <c r="A312" t="s">
        <v>299</v>
      </c>
      <c r="B312" t="s">
        <v>300</v>
      </c>
      <c r="D312" s="1"/>
      <c r="E312" s="1"/>
      <c r="F312" s="1" t="str">
        <f>INDEX(PT_DIFFERENTIATION_VTAR,MATCH(A312,PT_DIFFERENTIATION_VTAR_ID,0))</f>
        <v>Тариф на горячую воду (горячее водоснабжение)</v>
      </c>
      <c r="G312" s="1" t="str">
        <f>INDEX(PT_DIFFERENTIATION_NTAR,MATCH(B312,PT_DIFFERENTIATION_NTAR_ID,0))</f>
        <v/>
      </c>
      <c r="L312" t="s">
        <v>424</v>
      </c>
      <c r="AH312">
        <v>0</v>
      </c>
    </row>
    <row r="313" spans="1:34" ht="18.75" hidden="1" customHeight="1" x14ac:dyDescent="0.15">
      <c r="C313" t="s">
        <v>1269</v>
      </c>
      <c r="D313" s="1"/>
      <c r="E313" s="1"/>
      <c r="F313" s="1"/>
      <c r="G313" s="1"/>
      <c r="I313" t="s">
        <v>1268</v>
      </c>
      <c r="AH313">
        <v>0</v>
      </c>
    </row>
    <row r="314" spans="1:34" ht="0.75" hidden="1" customHeight="1" x14ac:dyDescent="0.15">
      <c r="C314" t="s">
        <v>1276</v>
      </c>
      <c r="D314" s="1"/>
      <c r="E314" s="1"/>
      <c r="F314" s="1"/>
      <c r="AH314">
        <v>0</v>
      </c>
    </row>
    <row r="315" spans="1:34" ht="18.75" hidden="1" customHeight="1" x14ac:dyDescent="0.15">
      <c r="A315" t="s">
        <v>304</v>
      </c>
      <c r="B315" t="s">
        <v>305</v>
      </c>
      <c r="D315" s="1"/>
      <c r="E315" s="1"/>
      <c r="F315" s="1" t="str">
        <f>INDEX(PT_DIFFERENTIATION_VTAR,MATCH(A315,PT_DIFFERENTIATION_VTAR_ID,0))</f>
        <v>Тариф на транспортировку горячей воды</v>
      </c>
      <c r="G315" s="1" t="str">
        <f>INDEX(PT_DIFFERENTIATION_NTAR,MATCH(B315,PT_DIFFERENTIATION_NTAR_ID,0))</f>
        <v/>
      </c>
      <c r="L315" t="s">
        <v>424</v>
      </c>
      <c r="AH315">
        <v>0</v>
      </c>
    </row>
    <row r="316" spans="1:34" ht="18.75" hidden="1" customHeight="1" x14ac:dyDescent="0.15">
      <c r="C316" t="s">
        <v>1269</v>
      </c>
      <c r="D316" s="1"/>
      <c r="E316" s="1"/>
      <c r="F316" s="1"/>
      <c r="G316" s="1"/>
      <c r="I316" t="s">
        <v>1268</v>
      </c>
      <c r="AH316">
        <v>0</v>
      </c>
    </row>
    <row r="317" spans="1:34" ht="0.75" hidden="1" customHeight="1" x14ac:dyDescent="0.15">
      <c r="C317" t="s">
        <v>1276</v>
      </c>
      <c r="D317" s="1"/>
      <c r="E317" s="1"/>
      <c r="F317" s="1"/>
      <c r="AH317">
        <v>0</v>
      </c>
    </row>
    <row r="318" spans="1:34" ht="18.75" hidden="1" customHeight="1" x14ac:dyDescent="0.15">
      <c r="A318" t="s">
        <v>309</v>
      </c>
      <c r="B318" t="s">
        <v>310</v>
      </c>
      <c r="D318" s="1"/>
      <c r="E318" s="1"/>
      <c r="F318" s="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 t="str">
        <f>INDEX(PT_DIFFERENTIATION_NTAR,MATCH(B318,PT_DIFFERENTIATION_NTAR_ID,0))</f>
        <v/>
      </c>
      <c r="L318" t="s">
        <v>424</v>
      </c>
      <c r="AH318">
        <v>0</v>
      </c>
    </row>
    <row r="319" spans="1:34" ht="18.75" hidden="1" customHeight="1" x14ac:dyDescent="0.15">
      <c r="C319" t="s">
        <v>1269</v>
      </c>
      <c r="D319" s="1"/>
      <c r="E319" s="1"/>
      <c r="F319" s="1"/>
      <c r="G319" s="1"/>
      <c r="I319" t="s">
        <v>1268</v>
      </c>
      <c r="AH319">
        <v>0</v>
      </c>
    </row>
    <row r="320" spans="1:34" ht="0.75" hidden="1" customHeight="1" x14ac:dyDescent="0.15">
      <c r="C320" t="s">
        <v>1276</v>
      </c>
      <c r="D320" s="1"/>
      <c r="E320" s="1"/>
      <c r="F320" s="1"/>
      <c r="AH320">
        <v>0</v>
      </c>
    </row>
    <row r="321" spans="1:34" ht="18.75" hidden="1" customHeight="1" x14ac:dyDescent="0.15">
      <c r="A321" t="s">
        <v>317</v>
      </c>
      <c r="B321" t="s">
        <v>318</v>
      </c>
      <c r="D321" s="1"/>
      <c r="E321" s="1"/>
      <c r="F321" s="1" t="str">
        <f>INDEX(PT_DIFFERENTIATION_VTAR,MATCH(A321,PT_DIFFERENTIATION_VTAR_ID,0))</f>
        <v>Тариф на водоотведение</v>
      </c>
      <c r="G321" s="1" t="str">
        <f>INDEX(PT_DIFFERENTIATION_NTAR,MATCH(B321,PT_DIFFERENTIATION_NTAR_ID,0))</f>
        <v>Тариф на водоотведение для потребителей КГУП "Примтеплоэнерго"</v>
      </c>
      <c r="L321" t="s">
        <v>424</v>
      </c>
      <c r="AH321">
        <v>0</v>
      </c>
    </row>
    <row r="322" spans="1:34" ht="18.75" hidden="1" customHeight="1" x14ac:dyDescent="0.15">
      <c r="C322" t="s">
        <v>1269</v>
      </c>
      <c r="D322" s="1"/>
      <c r="E322" s="1"/>
      <c r="F322" s="1"/>
      <c r="G322" s="1"/>
      <c r="I322" t="s">
        <v>1268</v>
      </c>
      <c r="AH322">
        <v>0</v>
      </c>
    </row>
    <row r="323" spans="1:34" ht="0.75" hidden="1" customHeight="1" x14ac:dyDescent="0.15">
      <c r="C323" t="s">
        <v>1276</v>
      </c>
      <c r="D323" s="1"/>
      <c r="E323" s="1"/>
      <c r="F323" s="1"/>
      <c r="AH323">
        <v>0</v>
      </c>
    </row>
    <row r="324" spans="1:34" ht="18.75" hidden="1" customHeight="1" x14ac:dyDescent="0.15">
      <c r="A324" t="s">
        <v>388</v>
      </c>
      <c r="B324" t="s">
        <v>389</v>
      </c>
      <c r="D324" s="1"/>
      <c r="E324" s="1"/>
      <c r="F324" s="1" t="str">
        <f>INDEX(PT_DIFFERENTIATION_VTAR,MATCH(A324,PT_DIFFERENTIATION_VTAR_ID,0))</f>
        <v>Тариф на транспортировку сточных вод</v>
      </c>
      <c r="G324" s="1" t="str">
        <f>INDEX(PT_DIFFERENTIATION_NTAR,MATCH(B324,PT_DIFFERENTIATION_NTAR_ID,0))</f>
        <v/>
      </c>
      <c r="L324" t="s">
        <v>424</v>
      </c>
      <c r="AH324">
        <v>0</v>
      </c>
    </row>
    <row r="325" spans="1:34" ht="18.75" hidden="1" customHeight="1" x14ac:dyDescent="0.15">
      <c r="C325" t="s">
        <v>1269</v>
      </c>
      <c r="D325" s="1"/>
      <c r="E325" s="1"/>
      <c r="F325" s="1"/>
      <c r="G325" s="1"/>
      <c r="I325" t="s">
        <v>1268</v>
      </c>
      <c r="AH325">
        <v>0</v>
      </c>
    </row>
    <row r="326" spans="1:34" ht="0.75" hidden="1" customHeight="1" x14ac:dyDescent="0.15">
      <c r="C326" t="s">
        <v>1276</v>
      </c>
      <c r="D326" s="1"/>
      <c r="E326" s="1"/>
      <c r="F326" s="1"/>
      <c r="AH326">
        <v>0</v>
      </c>
    </row>
    <row r="327" spans="1:34" ht="18.75" hidden="1" customHeight="1" x14ac:dyDescent="0.15">
      <c r="A327" t="s">
        <v>393</v>
      </c>
      <c r="B327" t="s">
        <v>394</v>
      </c>
      <c r="D327" s="1"/>
      <c r="E327" s="1"/>
      <c r="F327" s="1" t="str">
        <f>INDEX(PT_DIFFERENTIATION_VTAR,MATCH(A327,PT_DIFFERENTIATION_VTAR_ID,0))</f>
        <v>Тариф на подключение (технологическое присоединение) к централизованной системе водоотведения</v>
      </c>
      <c r="G327" s="1" t="str">
        <f>INDEX(PT_DIFFERENTIATION_NTAR,MATCH(B327,PT_DIFFERENTIATION_NTAR_ID,0))</f>
        <v/>
      </c>
      <c r="L327" t="s">
        <v>424</v>
      </c>
      <c r="AH327">
        <v>0</v>
      </c>
    </row>
    <row r="328" spans="1:34" ht="18.75" hidden="1" customHeight="1" x14ac:dyDescent="0.15">
      <c r="C328" t="s">
        <v>1269</v>
      </c>
      <c r="D328" s="1"/>
      <c r="E328" s="1"/>
      <c r="F328" s="1"/>
      <c r="G328" s="1"/>
      <c r="I328" t="s">
        <v>1268</v>
      </c>
      <c r="AH328">
        <v>0</v>
      </c>
    </row>
    <row r="329" spans="1:34" ht="1.1499999999999999" customHeight="1" x14ac:dyDescent="0.15">
      <c r="C329" t="s">
        <v>1276</v>
      </c>
      <c r="D329" s="1"/>
      <c r="E329" s="1"/>
      <c r="F329" s="1"/>
      <c r="AH329">
        <v>1</v>
      </c>
    </row>
    <row r="330" spans="1:34" ht="3" customHeight="1" x14ac:dyDescent="0.15">
      <c r="AH330">
        <v>3</v>
      </c>
    </row>
    <row r="331" spans="1:34" ht="26.25" customHeight="1" x14ac:dyDescent="0.15">
      <c r="F331" s="1"/>
      <c r="G331" s="1"/>
      <c r="H331" s="1"/>
      <c r="I331" s="1"/>
      <c r="J331" s="1"/>
      <c r="K331" s="1"/>
      <c r="L331" s="1"/>
      <c r="M331" s="1"/>
      <c r="AH331">
        <v>25</v>
      </c>
    </row>
    <row r="332" spans="1:34" ht="14.25" hidden="1" customHeight="1" x14ac:dyDescent="0.15">
      <c r="A332" t="s">
        <v>84</v>
      </c>
      <c r="B332">
        <v>0</v>
      </c>
      <c r="C332">
        <v>0</v>
      </c>
      <c r="D332">
        <v>3</v>
      </c>
      <c r="E332">
        <v>6</v>
      </c>
      <c r="F332">
        <v>46</v>
      </c>
      <c r="G332">
        <v>35</v>
      </c>
      <c r="H332">
        <v>3</v>
      </c>
      <c r="I332">
        <v>11</v>
      </c>
      <c r="J332">
        <v>11</v>
      </c>
      <c r="K332">
        <v>35</v>
      </c>
      <c r="L332">
        <v>35</v>
      </c>
      <c r="M332">
        <v>84</v>
      </c>
      <c r="N332">
        <v>10</v>
      </c>
      <c r="O332">
        <v>10</v>
      </c>
      <c r="P332">
        <v>10</v>
      </c>
      <c r="Q332">
        <v>10</v>
      </c>
      <c r="R332">
        <v>10</v>
      </c>
      <c r="S332">
        <v>10</v>
      </c>
      <c r="T332">
        <v>10</v>
      </c>
      <c r="U332">
        <v>10</v>
      </c>
      <c r="V332">
        <v>10</v>
      </c>
      <c r="W332">
        <v>10</v>
      </c>
      <c r="X332">
        <v>10</v>
      </c>
      <c r="Y332">
        <v>10</v>
      </c>
      <c r="Z332">
        <v>10</v>
      </c>
      <c r="AA332">
        <v>10</v>
      </c>
      <c r="AB332">
        <v>10</v>
      </c>
      <c r="AC332">
        <v>10</v>
      </c>
      <c r="AD332">
        <v>10</v>
      </c>
      <c r="AE332">
        <v>10</v>
      </c>
      <c r="AF332">
        <v>10</v>
      </c>
      <c r="AG332">
        <v>10</v>
      </c>
      <c r="AH33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x14ac:dyDescent="0.15"/>
  <cols>
    <col min="1" max="2" width="9.140625" hidden="1" customWidth="1"/>
    <col min="3" max="3" width="3" customWidth="1"/>
    <col min="4" max="4" width="6" customWidth="1"/>
    <col min="5" max="5" width="53" customWidth="1"/>
    <col min="6" max="7" width="35" customWidth="1"/>
    <col min="8" max="8" width="89" customWidth="1"/>
    <col min="9" max="17" width="10" customWidth="1"/>
    <col min="18" max="18" width="10.5703125" hidden="1"/>
  </cols>
  <sheetData>
    <row r="1" spans="3:18" ht="22.5" hidden="1" customHeight="1" x14ac:dyDescent="0.15">
      <c r="R1" t="s">
        <v>14</v>
      </c>
    </row>
    <row r="2" spans="3:18" ht="18.75" hidden="1" customHeight="1" x14ac:dyDescent="0.15">
      <c r="C2" t="s">
        <v>106</v>
      </c>
      <c r="R2">
        <v>0</v>
      </c>
    </row>
    <row r="3" spans="3:18" ht="14.25" hidden="1" customHeight="1" x14ac:dyDescent="0.15">
      <c r="R3">
        <v>0</v>
      </c>
    </row>
    <row r="4" spans="3:18" ht="6.4" customHeight="1" x14ac:dyDescent="0.15">
      <c r="R4">
        <v>6</v>
      </c>
    </row>
    <row r="5" spans="3:18" ht="34.5" customHeight="1" x14ac:dyDescent="0.15">
      <c r="D5" s="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
      <c r="F5" s="1"/>
      <c r="G5" s="1"/>
      <c r="R5">
        <v>33</v>
      </c>
    </row>
    <row r="6" spans="3:18" ht="18" customHeight="1" x14ac:dyDescent="0.15">
      <c r="D6" s="1" t="str">
        <f>IF(org=0,"Не определено",org)</f>
        <v>КГУП "Примтеплоэнерго"</v>
      </c>
      <c r="E6" s="1"/>
      <c r="F6" s="1"/>
      <c r="G6" s="1"/>
      <c r="R6">
        <v>17</v>
      </c>
    </row>
    <row r="7" spans="3:18" ht="14.65" customHeight="1" x14ac:dyDescent="0.15">
      <c r="R7">
        <v>14</v>
      </c>
    </row>
    <row r="8" spans="3:18" ht="14.65" customHeight="1" x14ac:dyDescent="0.15">
      <c r="D8" s="1" t="s">
        <v>418</v>
      </c>
      <c r="E8" s="1"/>
      <c r="F8" s="1"/>
      <c r="G8" s="1"/>
      <c r="H8" s="1" t="s">
        <v>419</v>
      </c>
      <c r="R8">
        <v>14</v>
      </c>
    </row>
    <row r="9" spans="3:18" ht="24" customHeight="1" x14ac:dyDescent="0.15">
      <c r="D9" t="s">
        <v>90</v>
      </c>
      <c r="E9" t="s">
        <v>420</v>
      </c>
      <c r="F9" t="s">
        <v>421</v>
      </c>
      <c r="G9" t="s">
        <v>508</v>
      </c>
      <c r="H9" s="1"/>
      <c r="R9">
        <v>23</v>
      </c>
    </row>
    <row r="10" spans="3:18" ht="14.65" customHeight="1" x14ac:dyDescent="0.15">
      <c r="D10" t="s">
        <v>101</v>
      </c>
      <c r="E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H10" s="1" t="s">
        <v>1277</v>
      </c>
      <c r="R10">
        <v>14</v>
      </c>
    </row>
    <row r="11" spans="3:18" ht="14.65" customHeight="1" x14ac:dyDescent="0.15">
      <c r="D11" t="s">
        <v>105</v>
      </c>
      <c r="E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H11" s="1"/>
      <c r="R11">
        <v>14</v>
      </c>
    </row>
    <row r="12" spans="3:18" ht="14.65" customHeight="1" x14ac:dyDescent="0.15">
      <c r="D12" t="s">
        <v>92</v>
      </c>
      <c r="E12" t="str">
        <f>"Сведения о планировании закупочных процедур"&amp;IF(TEMPLATE_SPHERE="TKO"," &lt;1&gt;","")</f>
        <v>Сведения о планировании закупочных процедур</v>
      </c>
      <c r="H12" s="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v>14</v>
      </c>
    </row>
    <row r="13" spans="3:18" ht="14.65" customHeight="1" x14ac:dyDescent="0.15">
      <c r="D13" t="s">
        <v>93</v>
      </c>
      <c r="E13" t="str">
        <f>"Сведения о результатах проведения закупочных процедур"&amp;IF(TEMPLATE_SPHERE="TKO"," &lt;1&gt;","")</f>
        <v>Сведения о результатах проведения закупочных процедур</v>
      </c>
      <c r="H13" s="1"/>
      <c r="R13">
        <v>14</v>
      </c>
    </row>
    <row r="14" spans="3:18" ht="14.65" customHeight="1" x14ac:dyDescent="0.15">
      <c r="E14" t="s">
        <v>440</v>
      </c>
      <c r="H14" s="1"/>
      <c r="R14">
        <v>14</v>
      </c>
    </row>
    <row r="15" spans="3:18" ht="14.65" customHeight="1" x14ac:dyDescent="0.15">
      <c r="R15">
        <v>14</v>
      </c>
    </row>
    <row r="16" spans="3:18" ht="14.65" customHeight="1" x14ac:dyDescent="0.15">
      <c r="E16" s="1"/>
      <c r="F16" s="1"/>
      <c r="G16" s="1"/>
      <c r="H16" s="1"/>
      <c r="R16">
        <v>14</v>
      </c>
    </row>
    <row r="17" spans="1:18" ht="22.5" hidden="1" customHeight="1" x14ac:dyDescent="0.15">
      <c r="A17" t="s">
        <v>84</v>
      </c>
      <c r="B17">
        <v>0</v>
      </c>
      <c r="C17">
        <v>3</v>
      </c>
      <c r="D17">
        <v>6</v>
      </c>
      <c r="E17">
        <v>53</v>
      </c>
      <c r="F17">
        <v>35</v>
      </c>
      <c r="G17">
        <v>35</v>
      </c>
      <c r="H17">
        <v>89</v>
      </c>
      <c r="I17">
        <v>10</v>
      </c>
      <c r="J17">
        <v>10</v>
      </c>
      <c r="K17">
        <v>10</v>
      </c>
      <c r="L17">
        <v>10</v>
      </c>
      <c r="M17">
        <v>10</v>
      </c>
      <c r="N17">
        <v>10</v>
      </c>
      <c r="O17">
        <v>10</v>
      </c>
      <c r="P17">
        <v>10</v>
      </c>
      <c r="Q17">
        <v>10</v>
      </c>
      <c r="R1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x14ac:dyDescent="0.15"/>
  <cols>
    <col min="1" max="2" width="9.140625" hidden="1" customWidth="1"/>
    <col min="3" max="3" width="4" customWidth="1"/>
    <col min="4" max="4" width="6" customWidth="1"/>
    <col min="5" max="5" width="47" customWidth="1"/>
    <col min="6" max="6" width="9" customWidth="1"/>
    <col min="7" max="7" width="25.7109375" hidden="1" customWidth="1"/>
    <col min="8" max="8" width="34" hidden="1" customWidth="1"/>
    <col min="9" max="9" width="25.7109375" customWidth="1"/>
    <col min="10" max="10" width="33" customWidth="1"/>
    <col min="11" max="11" width="50" customWidth="1"/>
    <col min="12" max="21" width="10" customWidth="1"/>
    <col min="22" max="22" width="10.5703125" hidden="1"/>
  </cols>
  <sheetData>
    <row r="1" spans="4:22" ht="22.5" hidden="1" customHeight="1" x14ac:dyDescent="0.15">
      <c r="G1">
        <v>4</v>
      </c>
      <c r="I1">
        <v>4</v>
      </c>
      <c r="V1" t="s">
        <v>14</v>
      </c>
    </row>
    <row r="2" spans="4:22" ht="15" hidden="1" customHeight="1" x14ac:dyDescent="0.15">
      <c r="V2">
        <v>0</v>
      </c>
    </row>
    <row r="3" spans="4:22" ht="15" hidden="1" customHeight="1" x14ac:dyDescent="0.15">
      <c r="V3">
        <v>0</v>
      </c>
    </row>
    <row r="4" spans="4:22" ht="15.75" customHeight="1" x14ac:dyDescent="0.15">
      <c r="V4">
        <v>15</v>
      </c>
    </row>
    <row r="5" spans="4:22" ht="66" customHeight="1" x14ac:dyDescent="0.15">
      <c r="D5" s="1" t="s">
        <v>1278</v>
      </c>
      <c r="E5" s="1"/>
      <c r="F5" s="1"/>
      <c r="G5" s="1"/>
      <c r="H5" s="1"/>
      <c r="I5" s="1"/>
      <c r="J5" s="1"/>
      <c r="V5">
        <v>63</v>
      </c>
    </row>
    <row r="6" spans="4:22" ht="15.75" customHeight="1" x14ac:dyDescent="0.15">
      <c r="D6" s="1" t="str">
        <f>IF(org=0,"Не определено",org)</f>
        <v>КГУП "Примтеплоэнерго"</v>
      </c>
      <c r="E6" s="1"/>
      <c r="F6" s="1"/>
      <c r="G6" s="1"/>
      <c r="H6" s="1"/>
      <c r="I6" s="1"/>
      <c r="J6" s="1"/>
      <c r="V6">
        <v>15</v>
      </c>
    </row>
    <row r="7" spans="4:22" ht="15.75" customHeight="1" x14ac:dyDescent="0.15">
      <c r="G7">
        <v>22</v>
      </c>
      <c r="I7">
        <v>1</v>
      </c>
      <c r="V7">
        <v>15</v>
      </c>
    </row>
    <row r="8" spans="4:22" ht="1.1499999999999999" customHeight="1" x14ac:dyDescent="0.15">
      <c r="I8" t="s">
        <v>173</v>
      </c>
      <c r="V8">
        <v>1</v>
      </c>
    </row>
    <row r="9" spans="4:22" ht="15.75" customHeight="1" x14ac:dyDescent="0.15">
      <c r="E9" s="1" t="s">
        <v>165</v>
      </c>
      <c r="F9" s="1"/>
      <c r="G9" s="1" t="str">
        <f>IF(G8="","",INDEX(DIFFERENTIATION_UNMERGE_VD,MATCH(G8,DIFFERENTIATION_ID_DIFF,0)))</f>
        <v/>
      </c>
      <c r="H9" s="1"/>
      <c r="I9" s="1">
        <f>IF(I8="","",INDEX(DIFFERENTIATION_UNMERGE_VD,MATCH(I8,DIFFERENTIATION_ID_DIFF,0)))</f>
        <v>0</v>
      </c>
      <c r="J9" s="1"/>
      <c r="K9" s="1" t="s">
        <v>419</v>
      </c>
      <c r="V9">
        <v>15</v>
      </c>
    </row>
    <row r="10" spans="4:22" ht="15.75" customHeight="1" x14ac:dyDescent="0.15">
      <c r="E10" s="1" t="s">
        <v>681</v>
      </c>
      <c r="F10" s="1"/>
      <c r="G10" s="1" t="str">
        <f>IF(G8="","",INDEX(DIFFERENTIATION_UNMERGE_AREA,MATCH(G8,DIFFERENTIATION_ID_DIFF,0)))</f>
        <v/>
      </c>
      <c r="H10" s="1"/>
      <c r="I10" s="1" t="str">
        <f>IF(I8="","",INDEX(DIFFERENTIATION_UNMERGE_AREA,MATCH(I8,DIFFERENTIATION_ID_DIFF,0)))</f>
        <v/>
      </c>
      <c r="J10" s="1"/>
      <c r="K10" s="1"/>
      <c r="V10">
        <v>15</v>
      </c>
    </row>
    <row r="11" spans="4:22" ht="15.75" customHeight="1" x14ac:dyDescent="0.15">
      <c r="E11" s="1" t="s">
        <v>682</v>
      </c>
      <c r="F11" s="1"/>
      <c r="G11" s="1" t="str">
        <f>IF(G8="","",INDEX(DIFFERENTIATION_UNMERGE_SYSTEM,MATCH(G8,DIFFERENTIATION_ID_DIFF,0)))</f>
        <v/>
      </c>
      <c r="H11" s="1"/>
      <c r="I11" s="1" t="str">
        <f>IF(I8="","",INDEX(DIFFERENTIATION_UNMERGE_SYSTEM,MATCH(I8,DIFFERENTIATION_ID_DIFF,0)))</f>
        <v>без дифференциации</v>
      </c>
      <c r="J11" s="1"/>
      <c r="K11" s="1"/>
      <c r="V11">
        <v>15</v>
      </c>
    </row>
    <row r="12" spans="4:22" ht="15.75" customHeight="1" x14ac:dyDescent="0.15">
      <c r="D12" s="1" t="s">
        <v>418</v>
      </c>
      <c r="E12" s="1"/>
      <c r="F12" s="1"/>
      <c r="K12" s="1"/>
      <c r="V12">
        <v>15</v>
      </c>
    </row>
    <row r="13" spans="4:22" ht="35.65" customHeight="1" x14ac:dyDescent="0.15">
      <c r="D13" t="s">
        <v>90</v>
      </c>
      <c r="E13" t="s">
        <v>420</v>
      </c>
      <c r="F13" t="s">
        <v>683</v>
      </c>
      <c r="G13" t="s">
        <v>421</v>
      </c>
      <c r="H13" t="s">
        <v>508</v>
      </c>
      <c r="I13" t="s">
        <v>421</v>
      </c>
      <c r="J13" t="s">
        <v>508</v>
      </c>
      <c r="K13" s="1"/>
      <c r="V13">
        <v>34</v>
      </c>
    </row>
    <row r="14" spans="4:22" ht="15" hidden="1" customHeight="1" x14ac:dyDescent="0.15">
      <c r="D14" t="s">
        <v>101</v>
      </c>
      <c r="E14" t="s">
        <v>105</v>
      </c>
      <c r="F14" t="s">
        <v>92</v>
      </c>
      <c r="G14" t="str">
        <f>G1&amp;".1"</f>
        <v>4.1</v>
      </c>
      <c r="I14" t="str">
        <f>I1&amp;".1"</f>
        <v>4.1</v>
      </c>
      <c r="V14">
        <v>0</v>
      </c>
    </row>
    <row r="15" spans="4:22" ht="22.5" hidden="1" customHeight="1" x14ac:dyDescent="0.15">
      <c r="D15">
        <v>1</v>
      </c>
      <c r="E15" t="s">
        <v>925</v>
      </c>
      <c r="F15" t="s">
        <v>926</v>
      </c>
      <c r="K15" t="s">
        <v>927</v>
      </c>
      <c r="V15">
        <v>0</v>
      </c>
    </row>
    <row r="16" spans="4:22" ht="22.5" hidden="1" customHeight="1" x14ac:dyDescent="0.15">
      <c r="D16">
        <v>2</v>
      </c>
      <c r="E16" t="s">
        <v>928</v>
      </c>
      <c r="F16" t="s">
        <v>929</v>
      </c>
      <c r="K16" t="s">
        <v>930</v>
      </c>
      <c r="V16">
        <v>0</v>
      </c>
    </row>
    <row r="17" spans="1:22" ht="123.75" hidden="1" customHeight="1" x14ac:dyDescent="0.15">
      <c r="D17">
        <v>3</v>
      </c>
      <c r="E17" t="s">
        <v>1279</v>
      </c>
      <c r="F17" t="s">
        <v>424</v>
      </c>
      <c r="K17" t="s">
        <v>1280</v>
      </c>
      <c r="V17">
        <v>0</v>
      </c>
    </row>
    <row r="18" spans="1:22" ht="48.2" customHeight="1" x14ac:dyDescent="0.15">
      <c r="D18">
        <v>3</v>
      </c>
      <c r="E18" t="s">
        <v>931</v>
      </c>
      <c r="F18" t="s">
        <v>424</v>
      </c>
      <c r="G18" t="s">
        <v>424</v>
      </c>
      <c r="H18" t="s">
        <v>424</v>
      </c>
      <c r="I18" t="s">
        <v>424</v>
      </c>
      <c r="J18" t="s">
        <v>424</v>
      </c>
      <c r="K18" t="s">
        <v>1281</v>
      </c>
      <c r="V18">
        <v>46</v>
      </c>
    </row>
    <row r="19" spans="1:22" ht="35.65" customHeight="1" x14ac:dyDescent="0.15">
      <c r="D19" t="s">
        <v>442</v>
      </c>
      <c r="E19" t="s">
        <v>933</v>
      </c>
      <c r="F19" t="s">
        <v>934</v>
      </c>
      <c r="V19">
        <v>34</v>
      </c>
    </row>
    <row r="20" spans="1:22" ht="35.65" customHeight="1" x14ac:dyDescent="0.15">
      <c r="D20" t="s">
        <v>450</v>
      </c>
      <c r="E20" t="s">
        <v>935</v>
      </c>
      <c r="F20" t="s">
        <v>936</v>
      </c>
      <c r="V20">
        <v>34</v>
      </c>
    </row>
    <row r="21" spans="1:22" ht="48.2" customHeight="1" x14ac:dyDescent="0.15">
      <c r="D21" t="s">
        <v>452</v>
      </c>
      <c r="E21" t="s">
        <v>937</v>
      </c>
      <c r="F21" t="s">
        <v>688</v>
      </c>
      <c r="V21">
        <v>46</v>
      </c>
    </row>
    <row r="22" spans="1:22" ht="67.5" hidden="1" customHeight="1" x14ac:dyDescent="0.15">
      <c r="D22">
        <v>5</v>
      </c>
      <c r="E22" t="s">
        <v>1282</v>
      </c>
      <c r="F22" t="s">
        <v>675</v>
      </c>
      <c r="K22" t="s">
        <v>1283</v>
      </c>
      <c r="V22">
        <v>0</v>
      </c>
    </row>
    <row r="23" spans="1:22" ht="33.75" hidden="1" customHeight="1" x14ac:dyDescent="0.15">
      <c r="D23">
        <v>6</v>
      </c>
      <c r="E23" t="s">
        <v>1284</v>
      </c>
      <c r="F23" t="s">
        <v>1285</v>
      </c>
      <c r="K23" t="s">
        <v>1286</v>
      </c>
      <c r="V23">
        <v>0</v>
      </c>
    </row>
    <row r="24" spans="1:22" ht="15.75" customHeight="1" x14ac:dyDescent="0.15">
      <c r="V24">
        <v>15</v>
      </c>
    </row>
    <row r="25" spans="1:22" ht="15.75" customHeight="1" x14ac:dyDescent="0.15">
      <c r="V25">
        <v>15</v>
      </c>
    </row>
    <row r="26" spans="1:22" ht="15.75" customHeight="1" x14ac:dyDescent="0.15">
      <c r="V26">
        <v>15</v>
      </c>
    </row>
    <row r="27" spans="1:22" ht="15.75" customHeight="1" x14ac:dyDescent="0.15">
      <c r="V27">
        <v>15</v>
      </c>
    </row>
    <row r="28" spans="1:22" ht="15.75" customHeight="1" x14ac:dyDescent="0.15">
      <c r="V28">
        <v>15</v>
      </c>
    </row>
    <row r="29" spans="1:22" ht="15.75" customHeight="1" x14ac:dyDescent="0.15">
      <c r="V29">
        <v>15</v>
      </c>
    </row>
    <row r="30" spans="1:22" ht="22.5" hidden="1" customHeight="1" x14ac:dyDescent="0.15">
      <c r="A30" t="s">
        <v>84</v>
      </c>
      <c r="B30">
        <v>0</v>
      </c>
      <c r="C30">
        <v>4</v>
      </c>
      <c r="D30">
        <v>6</v>
      </c>
      <c r="E30">
        <v>47</v>
      </c>
      <c r="F30">
        <v>9</v>
      </c>
      <c r="G30">
        <v>0</v>
      </c>
      <c r="H30">
        <v>0</v>
      </c>
      <c r="I30">
        <v>25</v>
      </c>
      <c r="J30">
        <v>33</v>
      </c>
      <c r="K30">
        <v>50</v>
      </c>
      <c r="L30">
        <v>10</v>
      </c>
      <c r="M30">
        <v>10</v>
      </c>
      <c r="N30">
        <v>10</v>
      </c>
      <c r="O30">
        <v>10</v>
      </c>
      <c r="P30">
        <v>10</v>
      </c>
      <c r="Q30">
        <v>10</v>
      </c>
      <c r="R30">
        <v>10</v>
      </c>
      <c r="S30">
        <v>10</v>
      </c>
      <c r="T30">
        <v>10</v>
      </c>
      <c r="U30">
        <v>10</v>
      </c>
      <c r="V3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x14ac:dyDescent="0.15"/>
  <cols>
    <col min="1" max="1" width="32.5703125" customWidth="1"/>
    <col min="2" max="2" width="11" customWidth="1"/>
    <col min="4" max="4" width="26.5703125" customWidth="1"/>
    <col min="5" max="5" width="36.85546875" customWidth="1"/>
    <col min="6" max="6" width="23.5703125" customWidth="1"/>
    <col min="7" max="7" width="31.42578125" customWidth="1"/>
    <col min="8" max="8" width="40.85546875" customWidth="1"/>
    <col min="9" max="9" width="14.5703125" customWidth="1"/>
    <col min="10" max="10" width="26.85546875" customWidth="1"/>
    <col min="11" max="11" width="50" customWidth="1"/>
    <col min="12" max="12" width="52.42578125" customWidth="1"/>
    <col min="13" max="13" width="10.7109375" customWidth="1"/>
    <col min="14" max="14" width="55.140625" customWidth="1"/>
    <col min="15" max="15" width="31.85546875" customWidth="1"/>
    <col min="16" max="16" width="23.85546875" customWidth="1"/>
    <col min="17" max="17" width="46.5703125" customWidth="1"/>
    <col min="18" max="18" width="24" customWidth="1"/>
    <col min="19" max="19" width="20.5703125" customWidth="1"/>
    <col min="20" max="20" width="22" customWidth="1"/>
    <col min="21" max="22" width="26.42578125" customWidth="1"/>
    <col min="23" max="23" width="8.28515625" hidden="1" customWidth="1"/>
    <col min="24" max="24" width="59.7109375" customWidth="1"/>
    <col min="25" max="25" width="49.140625" customWidth="1"/>
    <col min="26" max="26" width="11.140625" customWidth="1"/>
    <col min="27" max="30" width="29" customWidth="1"/>
    <col min="32" max="32" width="34.7109375" customWidth="1"/>
    <col min="34" max="35" width="34.42578125" customWidth="1"/>
    <col min="37" max="37" width="24.5703125" customWidth="1"/>
    <col min="39" max="39" width="26.140625" customWidth="1"/>
    <col min="40" max="40" width="1.7109375" customWidth="1"/>
    <col min="42" max="43" width="47.85546875" customWidth="1"/>
    <col min="44" max="44" width="1.7109375" customWidth="1"/>
    <col min="45" max="45" width="21.42578125" customWidth="1"/>
    <col min="46" max="46" width="1.7109375" customWidth="1"/>
    <col min="47" max="47" width="31.28515625" customWidth="1"/>
    <col min="48" max="48" width="1.7109375" customWidth="1"/>
    <col min="51" max="51" width="3.7109375" customWidth="1"/>
    <col min="52" max="52" width="60.85546875" customWidth="1"/>
    <col min="53" max="53" width="49.28515625" customWidth="1"/>
    <col min="54" max="54" width="35.140625" customWidth="1"/>
    <col min="56" max="56" width="1.7109375" customWidth="1"/>
    <col min="57" max="57" width="12.5703125" customWidth="1"/>
    <col min="58" max="58" width="14.28515625" customWidth="1"/>
    <col min="59" max="59" width="30.7109375" customWidth="1"/>
    <col min="60" max="60" width="40.7109375" customWidth="1"/>
    <col min="61" max="61" width="1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546875" customWidth="1"/>
    <col min="71" max="71" width="1.7109375" customWidth="1"/>
    <col min="72" max="72" width="22.5703125" customWidth="1"/>
    <col min="73" max="73" width="57.85546875" customWidth="1"/>
    <col min="74" max="74" width="1.7109375" customWidth="1"/>
    <col min="75" max="75" width="22.5703125" customWidth="1"/>
    <col min="76" max="76" width="57.85546875" customWidth="1"/>
    <col min="77" max="77" width="1.7109375" customWidth="1"/>
    <col min="78" max="78" width="22.5703125" customWidth="1"/>
    <col min="79" max="79" width="57.85546875" customWidth="1"/>
    <col min="82" max="82" width="49.5703125" customWidth="1"/>
  </cols>
  <sheetData>
    <row r="1" spans="1:79" ht="11.25" customHeight="1" x14ac:dyDescent="0.15">
      <c r="A1" t="s">
        <v>1287</v>
      </c>
      <c r="B1" t="s">
        <v>1288</v>
      </c>
      <c r="C1" t="s">
        <v>1289</v>
      </c>
      <c r="D1" t="s">
        <v>1290</v>
      </c>
      <c r="E1" t="s">
        <v>1291</v>
      </c>
      <c r="F1" t="s">
        <v>1292</v>
      </c>
      <c r="G1" t="s">
        <v>1293</v>
      </c>
      <c r="H1" t="s">
        <v>1294</v>
      </c>
      <c r="I1" t="s">
        <v>1295</v>
      </c>
      <c r="J1" t="s">
        <v>1296</v>
      </c>
      <c r="K1" t="s">
        <v>1297</v>
      </c>
      <c r="L1" t="s">
        <v>1298</v>
      </c>
      <c r="N1" t="s">
        <v>1299</v>
      </c>
      <c r="O1" t="s">
        <v>1300</v>
      </c>
      <c r="P1" t="s">
        <v>1301</v>
      </c>
      <c r="Q1" t="s">
        <v>1302</v>
      </c>
      <c r="R1" t="s">
        <v>1303</v>
      </c>
      <c r="S1" t="s">
        <v>1304</v>
      </c>
      <c r="T1" t="s">
        <v>1305</v>
      </c>
      <c r="U1" t="s">
        <v>1306</v>
      </c>
      <c r="W1" t="s">
        <v>1307</v>
      </c>
      <c r="X1" t="s">
        <v>1308</v>
      </c>
      <c r="Y1" t="s">
        <v>1309</v>
      </c>
      <c r="AA1" t="s">
        <v>1310</v>
      </c>
      <c r="AC1" t="s">
        <v>1311</v>
      </c>
      <c r="AF1" t="s">
        <v>1312</v>
      </c>
      <c r="AH1" t="s">
        <v>1313</v>
      </c>
      <c r="AI1" t="s">
        <v>1314</v>
      </c>
      <c r="AK1" t="s">
        <v>1315</v>
      </c>
      <c r="AM1" t="s">
        <v>1316</v>
      </c>
      <c r="AP1" t="s">
        <v>1317</v>
      </c>
      <c r="AQ1" t="s">
        <v>1318</v>
      </c>
      <c r="AS1" t="s">
        <v>1319</v>
      </c>
      <c r="AU1" t="s">
        <v>1320</v>
      </c>
      <c r="AW1" t="s">
        <v>1321</v>
      </c>
      <c r="AX1" t="s">
        <v>1322</v>
      </c>
      <c r="AZ1" t="s">
        <v>1323</v>
      </c>
      <c r="BB1" t="s">
        <v>1324</v>
      </c>
      <c r="BE1" t="s">
        <v>1325</v>
      </c>
      <c r="BF1" t="s">
        <v>1326</v>
      </c>
      <c r="BH1" t="s">
        <v>924</v>
      </c>
      <c r="BJ1" t="s">
        <v>1327</v>
      </c>
      <c r="BL1" t="s">
        <v>1023</v>
      </c>
      <c r="BN1" t="s">
        <v>1328</v>
      </c>
    </row>
    <row r="2" spans="1:79" ht="11.25" customHeight="1" x14ac:dyDescent="0.15">
      <c r="A2" t="s">
        <v>1329</v>
      </c>
      <c r="B2">
        <v>2000</v>
      </c>
      <c r="C2">
        <v>2022</v>
      </c>
      <c r="D2" t="s">
        <v>63</v>
      </c>
      <c r="E2" t="s">
        <v>1330</v>
      </c>
      <c r="F2" t="s">
        <v>1331</v>
      </c>
      <c r="G2" t="s">
        <v>1332</v>
      </c>
      <c r="H2" t="s">
        <v>57</v>
      </c>
      <c r="I2" t="s">
        <v>101</v>
      </c>
      <c r="J2" t="s">
        <v>1333</v>
      </c>
      <c r="K2" t="s">
        <v>1334</v>
      </c>
      <c r="M2">
        <v>1</v>
      </c>
      <c r="N2" t="s">
        <v>1335</v>
      </c>
      <c r="O2" t="s">
        <v>1336</v>
      </c>
      <c r="P2" t="s">
        <v>1337</v>
      </c>
      <c r="Q2" t="s">
        <v>1338</v>
      </c>
      <c r="R2" t="s">
        <v>1339</v>
      </c>
      <c r="S2" t="s">
        <v>1340</v>
      </c>
      <c r="T2" t="s">
        <v>1341</v>
      </c>
      <c r="U2" t="s">
        <v>1342</v>
      </c>
      <c r="V2">
        <v>1</v>
      </c>
      <c r="X2" t="s">
        <v>1343</v>
      </c>
      <c r="Y2" t="s">
        <v>1344</v>
      </c>
      <c r="AA2" t="s">
        <v>1345</v>
      </c>
      <c r="AB2" t="s">
        <v>1345</v>
      </c>
      <c r="AC2" t="s">
        <v>1346</v>
      </c>
      <c r="AD2" t="s">
        <v>1346</v>
      </c>
      <c r="AF2" t="s">
        <v>1342</v>
      </c>
      <c r="AH2" t="s">
        <v>1347</v>
      </c>
      <c r="AI2" t="s">
        <v>1347</v>
      </c>
      <c r="AK2" t="s">
        <v>1348</v>
      </c>
      <c r="AM2" t="s">
        <v>1349</v>
      </c>
      <c r="AP2" t="s">
        <v>1343</v>
      </c>
      <c r="AQ2" t="s">
        <v>1343</v>
      </c>
      <c r="AS2" t="s">
        <v>1350</v>
      </c>
      <c r="AU2" t="s">
        <v>1351</v>
      </c>
      <c r="AW2" t="s">
        <v>1352</v>
      </c>
      <c r="AX2" t="s">
        <v>1352</v>
      </c>
      <c r="AZ2" t="s">
        <v>1353</v>
      </c>
      <c r="BB2" t="s">
        <v>1354</v>
      </c>
      <c r="BC2" t="s">
        <v>1355</v>
      </c>
      <c r="BE2">
        <v>2000</v>
      </c>
      <c r="BF2" t="s">
        <v>1356</v>
      </c>
    </row>
    <row r="3" spans="1:79" ht="11.25" customHeight="1" x14ac:dyDescent="0.15">
      <c r="A3" t="s">
        <v>1357</v>
      </c>
      <c r="B3">
        <v>2001</v>
      </c>
      <c r="C3">
        <v>2023</v>
      </c>
      <c r="D3" t="s">
        <v>19</v>
      </c>
      <c r="E3" t="s">
        <v>1358</v>
      </c>
      <c r="F3" t="s">
        <v>1359</v>
      </c>
      <c r="G3" t="s">
        <v>1360</v>
      </c>
      <c r="H3" t="s">
        <v>1361</v>
      </c>
      <c r="I3" t="s">
        <v>105</v>
      </c>
      <c r="J3" t="s">
        <v>673</v>
      </c>
      <c r="K3" t="s">
        <v>1362</v>
      </c>
      <c r="L3">
        <f>IFERROR(MATCH(K3,OFFER_METHOD,0),0)</f>
        <v>0</v>
      </c>
      <c r="M3">
        <v>2</v>
      </c>
      <c r="N3" t="s">
        <v>1363</v>
      </c>
      <c r="O3" t="s">
        <v>1364</v>
      </c>
      <c r="P3" t="s">
        <v>37</v>
      </c>
      <c r="Q3" t="s">
        <v>1365</v>
      </c>
      <c r="R3" t="s">
        <v>1366</v>
      </c>
      <c r="S3" t="s">
        <v>1367</v>
      </c>
      <c r="T3" t="s">
        <v>1368</v>
      </c>
      <c r="U3" t="s">
        <v>1369</v>
      </c>
      <c r="V3">
        <v>2</v>
      </c>
      <c r="X3" t="s">
        <v>1370</v>
      </c>
      <c r="Y3" t="s">
        <v>1344</v>
      </c>
      <c r="AA3" t="s">
        <v>1371</v>
      </c>
      <c r="AB3" t="s">
        <v>1371</v>
      </c>
      <c r="AC3" t="s">
        <v>1372</v>
      </c>
      <c r="AD3" t="s">
        <v>1372</v>
      </c>
      <c r="AF3" t="s">
        <v>1369</v>
      </c>
      <c r="AH3" t="s">
        <v>1373</v>
      </c>
      <c r="AI3" t="s">
        <v>1374</v>
      </c>
      <c r="AK3" t="s">
        <v>1375</v>
      </c>
      <c r="AM3" t="s">
        <v>1376</v>
      </c>
      <c r="AP3" t="s">
        <v>1377</v>
      </c>
      <c r="AQ3" t="s">
        <v>1377</v>
      </c>
      <c r="AS3" t="s">
        <v>1378</v>
      </c>
      <c r="AU3" t="s">
        <v>1379</v>
      </c>
      <c r="AW3" t="s">
        <v>1380</v>
      </c>
      <c r="AX3" t="s">
        <v>1380</v>
      </c>
      <c r="AZ3" t="s">
        <v>1381</v>
      </c>
      <c r="BB3" t="s">
        <v>1382</v>
      </c>
      <c r="BC3" t="s">
        <v>1355</v>
      </c>
      <c r="BE3">
        <v>2001</v>
      </c>
      <c r="BF3" t="s">
        <v>1383</v>
      </c>
      <c r="BH3" t="s">
        <v>1384</v>
      </c>
      <c r="BJ3" t="s">
        <v>1385</v>
      </c>
      <c r="BL3" t="s">
        <v>1386</v>
      </c>
      <c r="BN3" t="s">
        <v>1387</v>
      </c>
      <c r="BR3" t="s">
        <v>1388</v>
      </c>
      <c r="BU3" t="s">
        <v>1389</v>
      </c>
      <c r="BX3" t="s">
        <v>1390</v>
      </c>
      <c r="CA3" t="s">
        <v>1391</v>
      </c>
    </row>
    <row r="4" spans="1:79" ht="11.25" customHeight="1" x14ac:dyDescent="0.15">
      <c r="A4" t="s">
        <v>1392</v>
      </c>
      <c r="B4">
        <v>2002</v>
      </c>
      <c r="C4">
        <v>2024</v>
      </c>
      <c r="E4" t="s">
        <v>1393</v>
      </c>
      <c r="F4" t="s">
        <v>1394</v>
      </c>
      <c r="H4" t="s">
        <v>1395</v>
      </c>
      <c r="I4" t="s">
        <v>92</v>
      </c>
      <c r="J4" t="s">
        <v>1396</v>
      </c>
      <c r="K4" t="s">
        <v>1397</v>
      </c>
      <c r="L4">
        <f>IFERROR(MATCH(K4,OFFER_METHOD,0),0)</f>
        <v>0</v>
      </c>
      <c r="M4">
        <v>3</v>
      </c>
      <c r="N4" t="s">
        <v>1398</v>
      </c>
      <c r="O4" t="s">
        <v>1399</v>
      </c>
      <c r="Q4" t="s">
        <v>1400</v>
      </c>
      <c r="R4" t="s">
        <v>1401</v>
      </c>
      <c r="S4" t="s">
        <v>1402</v>
      </c>
      <c r="T4" t="s">
        <v>1403</v>
      </c>
      <c r="U4" t="s">
        <v>1404</v>
      </c>
      <c r="V4">
        <v>3</v>
      </c>
      <c r="X4" t="s">
        <v>1405</v>
      </c>
      <c r="Y4" t="s">
        <v>1344</v>
      </c>
      <c r="AC4" t="s">
        <v>1406</v>
      </c>
      <c r="AD4" t="s">
        <v>1406</v>
      </c>
      <c r="AF4" t="s">
        <v>1404</v>
      </c>
      <c r="AH4" t="s">
        <v>1407</v>
      </c>
      <c r="AK4" t="s">
        <v>1408</v>
      </c>
      <c r="AM4" t="s">
        <v>1409</v>
      </c>
      <c r="AP4" t="s">
        <v>1370</v>
      </c>
      <c r="AQ4" t="s">
        <v>1370</v>
      </c>
      <c r="AS4" t="s">
        <v>1410</v>
      </c>
      <c r="AU4" t="s">
        <v>1411</v>
      </c>
      <c r="AW4" t="s">
        <v>1412</v>
      </c>
      <c r="AX4" t="s">
        <v>1412</v>
      </c>
      <c r="AZ4" t="s">
        <v>1413</v>
      </c>
      <c r="BB4" t="s">
        <v>1414</v>
      </c>
      <c r="BC4" t="s">
        <v>1415</v>
      </c>
      <c r="BE4">
        <v>2002</v>
      </c>
      <c r="BF4" t="s">
        <v>1416</v>
      </c>
      <c r="BH4" t="s">
        <v>1417</v>
      </c>
      <c r="BJ4" t="s">
        <v>1417</v>
      </c>
      <c r="BL4" t="s">
        <v>1417</v>
      </c>
      <c r="BN4" t="s">
        <v>1417</v>
      </c>
      <c r="BQ4" t="s">
        <v>1418</v>
      </c>
      <c r="BR4" t="s">
        <v>1419</v>
      </c>
      <c r="BT4" t="s">
        <v>1420</v>
      </c>
      <c r="BU4" t="s">
        <v>1421</v>
      </c>
      <c r="BW4" t="s">
        <v>1422</v>
      </c>
      <c r="BX4" t="s">
        <v>1423</v>
      </c>
      <c r="BZ4" t="s">
        <v>1424</v>
      </c>
      <c r="CA4" t="s">
        <v>1425</v>
      </c>
    </row>
    <row r="5" spans="1:79" ht="11.25" customHeight="1" x14ac:dyDescent="0.15">
      <c r="A5" t="s">
        <v>1426</v>
      </c>
      <c r="B5">
        <v>2003</v>
      </c>
      <c r="C5">
        <v>2025</v>
      </c>
      <c r="E5" t="s">
        <v>1427</v>
      </c>
      <c r="F5" t="s">
        <v>1428</v>
      </c>
      <c r="H5" t="s">
        <v>1429</v>
      </c>
      <c r="I5" t="s">
        <v>93</v>
      </c>
      <c r="K5" t="s">
        <v>1430</v>
      </c>
      <c r="L5">
        <f>IFERROR(MATCH(K5,OFFER_METHOD,0),0)</f>
        <v>0</v>
      </c>
      <c r="M5">
        <v>4</v>
      </c>
      <c r="N5" t="s">
        <v>1431</v>
      </c>
      <c r="O5" t="s">
        <v>1432</v>
      </c>
      <c r="Q5" t="s">
        <v>1433</v>
      </c>
      <c r="R5" t="s">
        <v>637</v>
      </c>
      <c r="T5" t="s">
        <v>1434</v>
      </c>
      <c r="U5" t="s">
        <v>1435</v>
      </c>
      <c r="V5">
        <v>4</v>
      </c>
      <c r="X5" t="s">
        <v>217</v>
      </c>
      <c r="Y5" t="s">
        <v>1436</v>
      </c>
      <c r="Z5">
        <v>1</v>
      </c>
      <c r="AF5" t="s">
        <v>1437</v>
      </c>
      <c r="AH5" t="s">
        <v>1438</v>
      </c>
      <c r="AK5" t="s">
        <v>1439</v>
      </c>
      <c r="AM5" t="s">
        <v>1440</v>
      </c>
      <c r="AP5" t="s">
        <v>217</v>
      </c>
      <c r="AQ5" t="s">
        <v>217</v>
      </c>
      <c r="AU5" t="s">
        <v>1441</v>
      </c>
      <c r="AW5" t="s">
        <v>1442</v>
      </c>
      <c r="AX5" t="s">
        <v>1442</v>
      </c>
      <c r="AZ5" t="s">
        <v>1443</v>
      </c>
      <c r="BB5" t="s">
        <v>1444</v>
      </c>
      <c r="BC5" t="s">
        <v>1445</v>
      </c>
      <c r="BE5">
        <v>2003</v>
      </c>
      <c r="BF5" t="s">
        <v>1446</v>
      </c>
      <c r="BH5" t="s">
        <v>1447</v>
      </c>
      <c r="BJ5" t="s">
        <v>1447</v>
      </c>
      <c r="BL5" t="s">
        <v>1447</v>
      </c>
      <c r="BN5" t="s">
        <v>1448</v>
      </c>
      <c r="BQ5">
        <v>4213775</v>
      </c>
      <c r="BR5" t="s">
        <v>1343</v>
      </c>
      <c r="BT5">
        <v>64236871</v>
      </c>
      <c r="BU5" t="s">
        <v>278</v>
      </c>
      <c r="BW5">
        <v>4213767</v>
      </c>
      <c r="BX5" t="s">
        <v>1449</v>
      </c>
      <c r="BZ5">
        <v>64237509</v>
      </c>
      <c r="CA5" t="s">
        <v>1450</v>
      </c>
    </row>
    <row r="6" spans="1:79" ht="11.25" customHeight="1" x14ac:dyDescent="0.15">
      <c r="A6" t="s">
        <v>1451</v>
      </c>
      <c r="B6">
        <v>2004</v>
      </c>
      <c r="C6">
        <v>2026</v>
      </c>
      <c r="E6" t="s">
        <v>1452</v>
      </c>
      <c r="H6" t="s">
        <v>1453</v>
      </c>
      <c r="I6" t="s">
        <v>120</v>
      </c>
      <c r="J6" t="s">
        <v>1454</v>
      </c>
      <c r="L6">
        <f>SUM(kind_of_control_method_filter)</f>
        <v>0</v>
      </c>
      <c r="N6" t="s">
        <v>1455</v>
      </c>
      <c r="O6" t="s">
        <v>1456</v>
      </c>
      <c r="R6" t="s">
        <v>1338</v>
      </c>
      <c r="T6" t="s">
        <v>1457</v>
      </c>
      <c r="U6" t="s">
        <v>1437</v>
      </c>
      <c r="V6">
        <v>5</v>
      </c>
      <c r="X6" t="s">
        <v>223</v>
      </c>
      <c r="Y6" t="s">
        <v>1458</v>
      </c>
      <c r="AH6" t="s">
        <v>1459</v>
      </c>
      <c r="AK6" t="s">
        <v>1460</v>
      </c>
      <c r="AM6" t="s">
        <v>1461</v>
      </c>
      <c r="AP6" t="s">
        <v>223</v>
      </c>
      <c r="AQ6" t="s">
        <v>223</v>
      </c>
      <c r="AU6" t="s">
        <v>1462</v>
      </c>
      <c r="AW6" t="s">
        <v>1463</v>
      </c>
      <c r="AX6" t="s">
        <v>1463</v>
      </c>
      <c r="BB6" t="s">
        <v>1464</v>
      </c>
      <c r="BC6" t="s">
        <v>1445</v>
      </c>
      <c r="BE6">
        <v>2004</v>
      </c>
      <c r="BF6" t="s">
        <v>1465</v>
      </c>
      <c r="BH6" t="s">
        <v>1466</v>
      </c>
      <c r="BJ6" t="s">
        <v>1467</v>
      </c>
      <c r="BL6" t="s">
        <v>1467</v>
      </c>
      <c r="BN6" t="s">
        <v>1468</v>
      </c>
      <c r="BQ6">
        <v>4213784</v>
      </c>
      <c r="BR6" t="s">
        <v>1377</v>
      </c>
      <c r="BT6">
        <v>64236872</v>
      </c>
      <c r="BU6" t="s">
        <v>283</v>
      </c>
      <c r="BW6">
        <v>4213768</v>
      </c>
      <c r="BX6" t="s">
        <v>303</v>
      </c>
      <c r="BZ6">
        <v>64237510</v>
      </c>
      <c r="CA6" t="s">
        <v>1469</v>
      </c>
    </row>
    <row r="7" spans="1:79" ht="11.25" customHeight="1" x14ac:dyDescent="0.15">
      <c r="A7" t="s">
        <v>1470</v>
      </c>
      <c r="B7">
        <v>2005</v>
      </c>
      <c r="E7" t="s">
        <v>1471</v>
      </c>
      <c r="H7" t="s">
        <v>1472</v>
      </c>
      <c r="I7" t="s">
        <v>94</v>
      </c>
      <c r="J7" t="s">
        <v>1473</v>
      </c>
      <c r="N7" t="s">
        <v>1474</v>
      </c>
      <c r="O7" t="s">
        <v>1475</v>
      </c>
      <c r="U7" t="s">
        <v>19</v>
      </c>
      <c r="V7" t="s">
        <v>94</v>
      </c>
      <c r="X7" t="s">
        <v>229</v>
      </c>
      <c r="Y7" t="s">
        <v>1436</v>
      </c>
      <c r="AH7" t="s">
        <v>1476</v>
      </c>
      <c r="AK7" t="s">
        <v>1477</v>
      </c>
      <c r="AM7" t="s">
        <v>1478</v>
      </c>
      <c r="AP7" t="s">
        <v>229</v>
      </c>
      <c r="AQ7" t="s">
        <v>229</v>
      </c>
      <c r="AU7" t="s">
        <v>1479</v>
      </c>
      <c r="AW7" t="s">
        <v>1480</v>
      </c>
      <c r="AX7" t="s">
        <v>1480</v>
      </c>
      <c r="AZ7" t="s">
        <v>1481</v>
      </c>
      <c r="BB7" t="s">
        <v>1482</v>
      </c>
      <c r="BC7" t="s">
        <v>1445</v>
      </c>
      <c r="BE7">
        <v>2005</v>
      </c>
      <c r="BF7" t="s">
        <v>1483</v>
      </c>
      <c r="BH7" t="s">
        <v>1484</v>
      </c>
      <c r="BJ7" t="s">
        <v>1466</v>
      </c>
      <c r="BL7" t="s">
        <v>1466</v>
      </c>
      <c r="BN7" t="s">
        <v>1485</v>
      </c>
      <c r="BQ7">
        <v>4213781</v>
      </c>
      <c r="BR7" t="s">
        <v>1370</v>
      </c>
      <c r="BT7">
        <v>64236873</v>
      </c>
      <c r="BU7" t="s">
        <v>288</v>
      </c>
      <c r="BW7">
        <v>4213769</v>
      </c>
      <c r="BX7" t="s">
        <v>1486</v>
      </c>
      <c r="BZ7">
        <v>64237511</v>
      </c>
      <c r="CA7" t="s">
        <v>387</v>
      </c>
    </row>
    <row r="8" spans="1:79" ht="11.25" customHeight="1" x14ac:dyDescent="0.15">
      <c r="A8" t="s">
        <v>1487</v>
      </c>
      <c r="B8">
        <v>2006</v>
      </c>
      <c r="E8" t="s">
        <v>1488</v>
      </c>
      <c r="H8" t="s">
        <v>1489</v>
      </c>
      <c r="I8" t="s">
        <v>95</v>
      </c>
      <c r="J8" t="s">
        <v>1490</v>
      </c>
      <c r="N8" t="s">
        <v>1491</v>
      </c>
      <c r="O8" t="s">
        <v>1492</v>
      </c>
      <c r="V8" t="s">
        <v>95</v>
      </c>
      <c r="X8" t="s">
        <v>235</v>
      </c>
      <c r="Y8" t="s">
        <v>1436</v>
      </c>
      <c r="AK8" t="s">
        <v>1493</v>
      </c>
      <c r="AP8" t="s">
        <v>235</v>
      </c>
      <c r="AQ8" t="s">
        <v>235</v>
      </c>
      <c r="AU8" t="s">
        <v>1494</v>
      </c>
      <c r="AW8" t="s">
        <v>1495</v>
      </c>
      <c r="AX8" t="s">
        <v>1495</v>
      </c>
      <c r="AZ8" t="s">
        <v>1496</v>
      </c>
      <c r="BB8" t="s">
        <v>1497</v>
      </c>
      <c r="BC8" t="s">
        <v>1445</v>
      </c>
      <c r="BE8">
        <v>2006</v>
      </c>
      <c r="BF8" t="s">
        <v>1498</v>
      </c>
      <c r="BH8" t="s">
        <v>1499</v>
      </c>
      <c r="BJ8" t="s">
        <v>1500</v>
      </c>
      <c r="BL8" t="s">
        <v>1500</v>
      </c>
      <c r="BN8" t="s">
        <v>1501</v>
      </c>
      <c r="BQ8">
        <v>4213776</v>
      </c>
      <c r="BR8" t="s">
        <v>217</v>
      </c>
      <c r="BT8">
        <v>64236874</v>
      </c>
      <c r="BU8" t="s">
        <v>1502</v>
      </c>
      <c r="BW8">
        <v>4213770</v>
      </c>
      <c r="BX8" t="s">
        <v>1503</v>
      </c>
      <c r="BZ8">
        <v>64237512</v>
      </c>
      <c r="CA8" t="s">
        <v>313</v>
      </c>
    </row>
    <row r="9" spans="1:79" ht="11.25" customHeight="1" x14ac:dyDescent="0.15">
      <c r="A9" t="s">
        <v>1504</v>
      </c>
      <c r="B9">
        <v>2007</v>
      </c>
      <c r="E9" t="s">
        <v>1505</v>
      </c>
      <c r="G9" t="s">
        <v>1506</v>
      </c>
      <c r="H9" t="s">
        <v>1507</v>
      </c>
      <c r="I9" t="s">
        <v>134</v>
      </c>
      <c r="O9" t="s">
        <v>1508</v>
      </c>
      <c r="V9" t="s">
        <v>134</v>
      </c>
      <c r="X9" t="s">
        <v>241</v>
      </c>
      <c r="Y9" t="s">
        <v>1344</v>
      </c>
      <c r="Z9">
        <v>1</v>
      </c>
      <c r="AK9" t="s">
        <v>1509</v>
      </c>
      <c r="AP9" t="s">
        <v>1510</v>
      </c>
      <c r="AQ9" t="s">
        <v>1510</v>
      </c>
      <c r="AW9" t="s">
        <v>1511</v>
      </c>
      <c r="AX9" t="s">
        <v>1511</v>
      </c>
      <c r="AZ9" t="s">
        <v>1512</v>
      </c>
      <c r="BB9" t="s">
        <v>1513</v>
      </c>
      <c r="BC9" t="s">
        <v>1445</v>
      </c>
      <c r="BE9">
        <v>2007</v>
      </c>
      <c r="BF9" t="s">
        <v>1514</v>
      </c>
      <c r="BH9" t="s">
        <v>1515</v>
      </c>
      <c r="BJ9" t="s">
        <v>1516</v>
      </c>
      <c r="BL9" t="s">
        <v>1516</v>
      </c>
      <c r="BN9" t="s">
        <v>1517</v>
      </c>
      <c r="BQ9">
        <v>4213777</v>
      </c>
      <c r="BR9" t="s">
        <v>223</v>
      </c>
      <c r="BT9">
        <v>64236875</v>
      </c>
      <c r="BU9" t="s">
        <v>293</v>
      </c>
    </row>
    <row r="10" spans="1:79" ht="11.25" customHeight="1" x14ac:dyDescent="0.15">
      <c r="A10" t="s">
        <v>1518</v>
      </c>
      <c r="B10">
        <v>2008</v>
      </c>
      <c r="E10" t="s">
        <v>1519</v>
      </c>
      <c r="G10" t="s">
        <v>1520</v>
      </c>
      <c r="H10" t="s">
        <v>1521</v>
      </c>
      <c r="I10" t="s">
        <v>139</v>
      </c>
      <c r="J10" t="s">
        <v>1522</v>
      </c>
      <c r="K10" t="s">
        <v>1523</v>
      </c>
      <c r="O10" t="s">
        <v>1524</v>
      </c>
      <c r="V10" t="s">
        <v>139</v>
      </c>
      <c r="X10" t="s">
        <v>1525</v>
      </c>
      <c r="Y10" t="s">
        <v>1526</v>
      </c>
      <c r="AP10" t="s">
        <v>1525</v>
      </c>
      <c r="AQ10" t="s">
        <v>1525</v>
      </c>
      <c r="AW10" t="s">
        <v>1527</v>
      </c>
      <c r="AX10" t="s">
        <v>1527</v>
      </c>
      <c r="AZ10" t="s">
        <v>1528</v>
      </c>
      <c r="BB10" t="s">
        <v>1529</v>
      </c>
      <c r="BC10" t="s">
        <v>1445</v>
      </c>
      <c r="BE10">
        <v>2008</v>
      </c>
      <c r="BF10" t="s">
        <v>1530</v>
      </c>
      <c r="BH10" t="s">
        <v>1531</v>
      </c>
      <c r="BJ10" t="s">
        <v>1532</v>
      </c>
      <c r="BL10" t="s">
        <v>1532</v>
      </c>
      <c r="BN10" t="s">
        <v>1533</v>
      </c>
      <c r="BQ10">
        <v>4213778</v>
      </c>
      <c r="BR10" t="s">
        <v>229</v>
      </c>
      <c r="BT10">
        <v>64236876</v>
      </c>
      <c r="BU10" t="s">
        <v>273</v>
      </c>
    </row>
    <row r="11" spans="1:79" ht="11.25" customHeight="1" x14ac:dyDescent="0.15">
      <c r="A11" t="s">
        <v>1534</v>
      </c>
      <c r="B11">
        <v>2009</v>
      </c>
      <c r="E11" t="s">
        <v>1535</v>
      </c>
      <c r="G11" t="s">
        <v>1536</v>
      </c>
      <c r="H11" t="s">
        <v>1537</v>
      </c>
      <c r="I11" t="s">
        <v>145</v>
      </c>
      <c r="J11" t="s">
        <v>1538</v>
      </c>
      <c r="K11" t="s">
        <v>1539</v>
      </c>
      <c r="O11" t="s">
        <v>1540</v>
      </c>
      <c r="V11" t="s">
        <v>145</v>
      </c>
      <c r="X11" t="s">
        <v>1510</v>
      </c>
      <c r="Y11" t="s">
        <v>1541</v>
      </c>
      <c r="AP11" t="s">
        <v>241</v>
      </c>
      <c r="AQ11" t="s">
        <v>241</v>
      </c>
      <c r="AW11" t="s">
        <v>1542</v>
      </c>
      <c r="AX11" t="s">
        <v>1542</v>
      </c>
      <c r="AZ11" t="s">
        <v>1543</v>
      </c>
      <c r="BB11" t="s">
        <v>1544</v>
      </c>
      <c r="BC11" t="s">
        <v>1445</v>
      </c>
      <c r="BE11">
        <v>2009</v>
      </c>
      <c r="BF11" t="s">
        <v>1545</v>
      </c>
      <c r="BH11" t="s">
        <v>1546</v>
      </c>
      <c r="BJ11" t="s">
        <v>1515</v>
      </c>
      <c r="BL11" t="s">
        <v>1515</v>
      </c>
      <c r="BN11" t="s">
        <v>1547</v>
      </c>
      <c r="BQ11">
        <v>4213780</v>
      </c>
      <c r="BR11" t="s">
        <v>235</v>
      </c>
    </row>
    <row r="12" spans="1:79" ht="11.25" customHeight="1" x14ac:dyDescent="0.15">
      <c r="A12" t="s">
        <v>1548</v>
      </c>
      <c r="B12">
        <v>2010</v>
      </c>
      <c r="E12" t="s">
        <v>1549</v>
      </c>
      <c r="G12" t="s">
        <v>1537</v>
      </c>
      <c r="I12" t="s">
        <v>150</v>
      </c>
      <c r="J12" t="s">
        <v>1550</v>
      </c>
      <c r="K12" t="s">
        <v>1551</v>
      </c>
      <c r="O12" t="s">
        <v>1338</v>
      </c>
      <c r="V12" t="s">
        <v>150</v>
      </c>
      <c r="X12" t="s">
        <v>1552</v>
      </c>
      <c r="Y12" t="s">
        <v>1344</v>
      </c>
      <c r="AW12" t="s">
        <v>145</v>
      </c>
      <c r="AX12" t="s">
        <v>145</v>
      </c>
      <c r="AZ12" t="s">
        <v>1553</v>
      </c>
      <c r="BB12" t="s">
        <v>1554</v>
      </c>
      <c r="BC12" t="s">
        <v>1445</v>
      </c>
      <c r="BE12">
        <v>2010</v>
      </c>
      <c r="BF12" t="s">
        <v>1555</v>
      </c>
      <c r="BH12" t="s">
        <v>1556</v>
      </c>
      <c r="BJ12" t="s">
        <v>1557</v>
      </c>
      <c r="BL12" t="s">
        <v>1557</v>
      </c>
      <c r="BN12" t="s">
        <v>1558</v>
      </c>
      <c r="BQ12">
        <v>4213779</v>
      </c>
      <c r="BR12" t="s">
        <v>1510</v>
      </c>
    </row>
    <row r="13" spans="1:79" ht="11.25" customHeight="1" x14ac:dyDescent="0.15">
      <c r="A13" t="s">
        <v>1559</v>
      </c>
      <c r="B13">
        <v>2011</v>
      </c>
      <c r="E13" t="s">
        <v>1560</v>
      </c>
      <c r="I13" t="s">
        <v>154</v>
      </c>
      <c r="K13" t="s">
        <v>1509</v>
      </c>
      <c r="V13" t="s">
        <v>154</v>
      </c>
      <c r="AW13" t="s">
        <v>150</v>
      </c>
      <c r="AX13" t="s">
        <v>150</v>
      </c>
      <c r="BB13" t="s">
        <v>1561</v>
      </c>
      <c r="BC13" t="s">
        <v>1562</v>
      </c>
      <c r="BE13">
        <v>2011</v>
      </c>
      <c r="BF13" t="s">
        <v>1563</v>
      </c>
      <c r="BH13" t="s">
        <v>1564</v>
      </c>
      <c r="BJ13" t="s">
        <v>1546</v>
      </c>
      <c r="BL13" t="s">
        <v>1546</v>
      </c>
      <c r="BN13" t="s">
        <v>1565</v>
      </c>
      <c r="BQ13">
        <v>4213783</v>
      </c>
      <c r="BR13" t="s">
        <v>1525</v>
      </c>
    </row>
    <row r="14" spans="1:79" ht="11.25" customHeight="1" x14ac:dyDescent="0.15">
      <c r="A14" t="s">
        <v>1566</v>
      </c>
      <c r="B14">
        <v>2012</v>
      </c>
      <c r="I14" t="s">
        <v>158</v>
      </c>
      <c r="J14" t="s">
        <v>1567</v>
      </c>
      <c r="N14" t="s">
        <v>1568</v>
      </c>
      <c r="V14">
        <v>13</v>
      </c>
      <c r="X14" t="s">
        <v>1377</v>
      </c>
      <c r="Y14" t="s">
        <v>1344</v>
      </c>
      <c r="AW14" t="s">
        <v>154</v>
      </c>
      <c r="AX14" t="s">
        <v>154</v>
      </c>
      <c r="AZ14" t="s">
        <v>1569</v>
      </c>
      <c r="BB14" t="s">
        <v>1570</v>
      </c>
      <c r="BC14" t="s">
        <v>1562</v>
      </c>
      <c r="BE14">
        <v>2012</v>
      </c>
      <c r="BH14" t="s">
        <v>1485</v>
      </c>
      <c r="BJ14" t="s">
        <v>1571</v>
      </c>
      <c r="BL14" t="s">
        <v>1571</v>
      </c>
      <c r="BN14" t="s">
        <v>1572</v>
      </c>
      <c r="BQ14">
        <v>4213782</v>
      </c>
      <c r="BR14" t="s">
        <v>241</v>
      </c>
    </row>
    <row r="15" spans="1:79" ht="19.5" customHeight="1" x14ac:dyDescent="0.15">
      <c r="A15" t="s">
        <v>1573</v>
      </c>
      <c r="B15">
        <v>2013</v>
      </c>
      <c r="E15" t="s">
        <v>1574</v>
      </c>
      <c r="G15" t="s">
        <v>1575</v>
      </c>
      <c r="H15" t="s">
        <v>1576</v>
      </c>
      <c r="I15" t="s">
        <v>204</v>
      </c>
      <c r="J15" t="s">
        <v>700</v>
      </c>
      <c r="N15" t="s">
        <v>1577</v>
      </c>
      <c r="AW15" t="s">
        <v>158</v>
      </c>
      <c r="AX15" t="s">
        <v>158</v>
      </c>
      <c r="AZ15" t="s">
        <v>1496</v>
      </c>
      <c r="BB15" t="s">
        <v>1578</v>
      </c>
      <c r="BC15" t="s">
        <v>1562</v>
      </c>
      <c r="BE15">
        <v>2013</v>
      </c>
      <c r="BH15" t="s">
        <v>1501</v>
      </c>
      <c r="BJ15" t="s">
        <v>1579</v>
      </c>
      <c r="BL15" t="s">
        <v>1579</v>
      </c>
      <c r="BN15" t="s">
        <v>1580</v>
      </c>
    </row>
    <row r="16" spans="1:79" ht="21" customHeight="1" x14ac:dyDescent="0.15">
      <c r="A16" t="s">
        <v>1581</v>
      </c>
      <c r="B16">
        <v>2014</v>
      </c>
      <c r="E16" t="s">
        <v>1582</v>
      </c>
      <c r="G16" t="s">
        <v>1583</v>
      </c>
      <c r="H16" t="s">
        <v>1584</v>
      </c>
      <c r="I16" t="s">
        <v>1585</v>
      </c>
      <c r="J16" t="s">
        <v>673</v>
      </c>
      <c r="N16" t="s">
        <v>1586</v>
      </c>
      <c r="AW16" t="s">
        <v>204</v>
      </c>
      <c r="AX16" t="s">
        <v>204</v>
      </c>
      <c r="AZ16" t="s">
        <v>1512</v>
      </c>
      <c r="BB16" t="s">
        <v>1587</v>
      </c>
      <c r="BC16" t="s">
        <v>1562</v>
      </c>
      <c r="BE16">
        <v>2014</v>
      </c>
      <c r="BH16" t="s">
        <v>1517</v>
      </c>
      <c r="BJ16" t="s">
        <v>1588</v>
      </c>
      <c r="BL16" t="s">
        <v>1588</v>
      </c>
      <c r="BN16" t="s">
        <v>1589</v>
      </c>
    </row>
    <row r="17" spans="1:82" ht="21" customHeight="1" x14ac:dyDescent="0.15">
      <c r="A17" t="s">
        <v>1590</v>
      </c>
      <c r="B17">
        <v>2015</v>
      </c>
      <c r="G17" t="s">
        <v>1537</v>
      </c>
      <c r="H17" t="s">
        <v>1537</v>
      </c>
      <c r="I17" t="s">
        <v>113</v>
      </c>
      <c r="N17" t="s">
        <v>1591</v>
      </c>
      <c r="AW17" t="s">
        <v>1585</v>
      </c>
      <c r="AX17" t="s">
        <v>1585</v>
      </c>
      <c r="AZ17" t="s">
        <v>1592</v>
      </c>
      <c r="BB17" t="s">
        <v>1593</v>
      </c>
      <c r="BC17" t="s">
        <v>1445</v>
      </c>
      <c r="BE17">
        <v>2015</v>
      </c>
      <c r="BH17" t="s">
        <v>1533</v>
      </c>
      <c r="BJ17" t="s">
        <v>1594</v>
      </c>
      <c r="BL17" t="s">
        <v>1594</v>
      </c>
      <c r="BN17" t="s">
        <v>1595</v>
      </c>
      <c r="BR17" t="s">
        <v>1388</v>
      </c>
      <c r="BU17" t="s">
        <v>1596</v>
      </c>
      <c r="BX17" t="s">
        <v>1597</v>
      </c>
      <c r="CA17" t="s">
        <v>1598</v>
      </c>
      <c r="CD17" t="s">
        <v>1599</v>
      </c>
    </row>
    <row r="18" spans="1:82" ht="21" customHeight="1" x14ac:dyDescent="0.15">
      <c r="A18" t="s">
        <v>1600</v>
      </c>
      <c r="B18">
        <v>2016</v>
      </c>
      <c r="E18" t="s">
        <v>1601</v>
      </c>
      <c r="I18" t="s">
        <v>1602</v>
      </c>
      <c r="N18" t="s">
        <v>1603</v>
      </c>
      <c r="AW18" t="s">
        <v>113</v>
      </c>
      <c r="AX18" t="s">
        <v>113</v>
      </c>
      <c r="BB18" t="s">
        <v>1604</v>
      </c>
      <c r="BC18" t="s">
        <v>1445</v>
      </c>
      <c r="BE18">
        <v>2016</v>
      </c>
      <c r="BH18" t="s">
        <v>1547</v>
      </c>
      <c r="BJ18" t="s">
        <v>1605</v>
      </c>
      <c r="BL18" t="s">
        <v>1605</v>
      </c>
      <c r="BN18" t="s">
        <v>1606</v>
      </c>
      <c r="BQ18" t="s">
        <v>1418</v>
      </c>
      <c r="BR18" t="s">
        <v>1419</v>
      </c>
      <c r="BT18" t="s">
        <v>1607</v>
      </c>
      <c r="BU18" t="s">
        <v>1608</v>
      </c>
      <c r="BW18" t="s">
        <v>1609</v>
      </c>
      <c r="BX18" t="s">
        <v>1610</v>
      </c>
      <c r="BZ18" t="s">
        <v>1611</v>
      </c>
      <c r="CA18" t="s">
        <v>1612</v>
      </c>
      <c r="CC18" t="s">
        <v>1613</v>
      </c>
      <c r="CD18" t="s">
        <v>1614</v>
      </c>
    </row>
    <row r="19" spans="1:82" ht="21" customHeight="1" x14ac:dyDescent="0.15">
      <c r="A19" t="s">
        <v>1615</v>
      </c>
      <c r="B19">
        <v>2017</v>
      </c>
      <c r="E19" t="s">
        <v>216</v>
      </c>
      <c r="I19" t="s">
        <v>1616</v>
      </c>
      <c r="N19" t="s">
        <v>1617</v>
      </c>
      <c r="AW19" t="s">
        <v>1602</v>
      </c>
      <c r="AX19" t="s">
        <v>1602</v>
      </c>
      <c r="AZ19" t="s">
        <v>1618</v>
      </c>
      <c r="BB19" t="s">
        <v>1619</v>
      </c>
      <c r="BC19" t="s">
        <v>1445</v>
      </c>
      <c r="BE19">
        <v>2017</v>
      </c>
      <c r="BH19" t="s">
        <v>1620</v>
      </c>
      <c r="BJ19" t="s">
        <v>1621</v>
      </c>
      <c r="BL19" t="s">
        <v>1621</v>
      </c>
      <c r="BQ19">
        <v>4190064</v>
      </c>
      <c r="BR19" t="s">
        <v>1622</v>
      </c>
      <c r="BT19">
        <v>4189671</v>
      </c>
      <c r="BU19" t="s">
        <v>1623</v>
      </c>
      <c r="BW19">
        <v>4189706</v>
      </c>
      <c r="BX19" t="s">
        <v>1624</v>
      </c>
      <c r="BZ19">
        <v>4189714</v>
      </c>
      <c r="CA19" t="s">
        <v>1625</v>
      </c>
      <c r="CC19">
        <v>4189708</v>
      </c>
      <c r="CD19" t="s">
        <v>1626</v>
      </c>
    </row>
    <row r="20" spans="1:82" ht="21" customHeight="1" x14ac:dyDescent="0.15">
      <c r="A20" t="s">
        <v>1627</v>
      </c>
      <c r="B20">
        <v>2018</v>
      </c>
      <c r="E20" t="s">
        <v>1377</v>
      </c>
      <c r="I20" t="s">
        <v>1628</v>
      </c>
      <c r="N20" t="s">
        <v>1629</v>
      </c>
      <c r="AW20" t="s">
        <v>1616</v>
      </c>
      <c r="AX20" t="s">
        <v>1616</v>
      </c>
      <c r="AZ20" t="s">
        <v>1630</v>
      </c>
      <c r="BB20" t="s">
        <v>1631</v>
      </c>
      <c r="BC20" t="s">
        <v>1562</v>
      </c>
      <c r="BE20">
        <v>2018</v>
      </c>
      <c r="BH20" t="s">
        <v>1558</v>
      </c>
      <c r="BJ20" t="s">
        <v>1485</v>
      </c>
      <c r="BL20" t="s">
        <v>1485</v>
      </c>
      <c r="BQ20">
        <v>4190065</v>
      </c>
      <c r="BR20" t="s">
        <v>1632</v>
      </c>
      <c r="BT20">
        <v>4189672</v>
      </c>
      <c r="BU20" t="s">
        <v>1633</v>
      </c>
      <c r="BW20">
        <v>4189705</v>
      </c>
      <c r="BX20" t="s">
        <v>1634</v>
      </c>
      <c r="BZ20">
        <v>4189713</v>
      </c>
      <c r="CA20" t="s">
        <v>1634</v>
      </c>
      <c r="CC20">
        <v>4189709</v>
      </c>
      <c r="CD20" t="s">
        <v>1635</v>
      </c>
    </row>
    <row r="21" spans="1:82" ht="21" customHeight="1" x14ac:dyDescent="0.15">
      <c r="A21" t="s">
        <v>1636</v>
      </c>
      <c r="B21">
        <v>2019</v>
      </c>
      <c r="I21" t="s">
        <v>1637</v>
      </c>
      <c r="N21" t="s">
        <v>1638</v>
      </c>
      <c r="AW21" t="s">
        <v>1628</v>
      </c>
      <c r="AX21" t="s">
        <v>1628</v>
      </c>
      <c r="AZ21" t="s">
        <v>1639</v>
      </c>
      <c r="BB21" t="s">
        <v>1640</v>
      </c>
      <c r="BC21" t="s">
        <v>1445</v>
      </c>
      <c r="BE21">
        <v>2019</v>
      </c>
      <c r="BH21" t="s">
        <v>1565</v>
      </c>
      <c r="BJ21" t="s">
        <v>1501</v>
      </c>
      <c r="BL21" t="s">
        <v>1501</v>
      </c>
      <c r="BQ21">
        <v>4190066</v>
      </c>
      <c r="BR21" t="s">
        <v>1641</v>
      </c>
      <c r="BT21">
        <v>4189673</v>
      </c>
      <c r="BU21" t="s">
        <v>1642</v>
      </c>
      <c r="BW21">
        <v>4189707</v>
      </c>
      <c r="BX21" t="s">
        <v>1643</v>
      </c>
      <c r="BZ21">
        <v>4189712</v>
      </c>
      <c r="CA21" t="s">
        <v>1644</v>
      </c>
      <c r="CC21">
        <v>4189710</v>
      </c>
      <c r="CD21" t="s">
        <v>1645</v>
      </c>
    </row>
    <row r="22" spans="1:82" ht="21" customHeight="1" x14ac:dyDescent="0.15">
      <c r="A22" t="s">
        <v>1646</v>
      </c>
      <c r="B22">
        <v>2020</v>
      </c>
      <c r="N22" t="s">
        <v>1647</v>
      </c>
      <c r="AW22" t="s">
        <v>1637</v>
      </c>
      <c r="AX22" t="s">
        <v>1637</v>
      </c>
      <c r="AZ22" t="s">
        <v>1648</v>
      </c>
      <c r="BB22" t="s">
        <v>1649</v>
      </c>
      <c r="BC22" t="s">
        <v>1445</v>
      </c>
      <c r="BE22">
        <v>2020</v>
      </c>
      <c r="BH22" t="s">
        <v>1572</v>
      </c>
      <c r="BJ22" t="s">
        <v>1517</v>
      </c>
      <c r="BL22" t="s">
        <v>1517</v>
      </c>
      <c r="BQ22">
        <v>4190067</v>
      </c>
      <c r="BR22" t="s">
        <v>1650</v>
      </c>
      <c r="BT22">
        <v>4189674</v>
      </c>
      <c r="BU22" t="s">
        <v>1651</v>
      </c>
      <c r="CC22">
        <v>4189711</v>
      </c>
      <c r="CD22" t="s">
        <v>411</v>
      </c>
    </row>
    <row r="23" spans="1:82" ht="21" customHeight="1" x14ac:dyDescent="0.15">
      <c r="A23" t="s">
        <v>1652</v>
      </c>
      <c r="B23">
        <v>2021</v>
      </c>
      <c r="AW23" t="s">
        <v>1653</v>
      </c>
      <c r="AX23" t="s">
        <v>1653</v>
      </c>
      <c r="AZ23" t="s">
        <v>1654</v>
      </c>
      <c r="BB23" t="s">
        <v>1655</v>
      </c>
      <c r="BC23" t="s">
        <v>1355</v>
      </c>
      <c r="BE23">
        <v>2021</v>
      </c>
      <c r="BH23" t="s">
        <v>1580</v>
      </c>
      <c r="BJ23" t="s">
        <v>1533</v>
      </c>
      <c r="BL23" t="s">
        <v>1533</v>
      </c>
      <c r="BQ23">
        <v>4190068</v>
      </c>
      <c r="BR23" t="s">
        <v>1656</v>
      </c>
      <c r="BT23">
        <v>4189675</v>
      </c>
      <c r="BU23" t="s">
        <v>1657</v>
      </c>
      <c r="CC23">
        <v>5110778</v>
      </c>
      <c r="CD23" t="s">
        <v>1658</v>
      </c>
    </row>
    <row r="24" spans="1:82" ht="21" customHeight="1" x14ac:dyDescent="0.15">
      <c r="A24" t="s">
        <v>1659</v>
      </c>
      <c r="B24">
        <v>2022</v>
      </c>
      <c r="AW24" t="s">
        <v>1660</v>
      </c>
      <c r="AX24" t="s">
        <v>1660</v>
      </c>
      <c r="AZ24" t="s">
        <v>1661</v>
      </c>
      <c r="BB24" t="s">
        <v>1662</v>
      </c>
      <c r="BC24" t="s">
        <v>1663</v>
      </c>
      <c r="BE24">
        <v>2022</v>
      </c>
      <c r="BH24" t="s">
        <v>1589</v>
      </c>
      <c r="BJ24" t="s">
        <v>1547</v>
      </c>
      <c r="BL24" t="s">
        <v>1547</v>
      </c>
      <c r="BQ24">
        <v>4190069</v>
      </c>
      <c r="BR24" t="s">
        <v>1664</v>
      </c>
      <c r="BT24">
        <v>4189676</v>
      </c>
      <c r="BU24" t="s">
        <v>1665</v>
      </c>
      <c r="CC24">
        <v>25575374</v>
      </c>
      <c r="CD24" t="s">
        <v>1666</v>
      </c>
    </row>
    <row r="25" spans="1:82" ht="11.25" customHeight="1" x14ac:dyDescent="0.15">
      <c r="A25" t="s">
        <v>1667</v>
      </c>
      <c r="B25">
        <v>2023</v>
      </c>
      <c r="AW25" t="s">
        <v>1668</v>
      </c>
      <c r="AX25" t="s">
        <v>1668</v>
      </c>
      <c r="AZ25" t="s">
        <v>1669</v>
      </c>
      <c r="BB25" t="s">
        <v>1670</v>
      </c>
      <c r="BC25" t="s">
        <v>1663</v>
      </c>
      <c r="BE25">
        <v>2023</v>
      </c>
      <c r="BH25" t="s">
        <v>1595</v>
      </c>
      <c r="BJ25" t="s">
        <v>1620</v>
      </c>
      <c r="BL25" t="s">
        <v>1620</v>
      </c>
      <c r="BQ25">
        <v>4190070</v>
      </c>
      <c r="BR25" t="s">
        <v>1671</v>
      </c>
      <c r="BT25">
        <v>4189677</v>
      </c>
      <c r="BU25" t="s">
        <v>1672</v>
      </c>
    </row>
    <row r="26" spans="1:82" ht="11.25" customHeight="1" x14ac:dyDescent="0.15">
      <c r="A26" t="s">
        <v>1673</v>
      </c>
      <c r="B26">
        <v>2024</v>
      </c>
      <c r="J26" t="s">
        <v>1674</v>
      </c>
      <c r="AX26" t="s">
        <v>1675</v>
      </c>
      <c r="AZ26" t="s">
        <v>1540</v>
      </c>
      <c r="BB26" t="s">
        <v>1676</v>
      </c>
      <c r="BC26" t="s">
        <v>1663</v>
      </c>
      <c r="BE26">
        <v>2024</v>
      </c>
      <c r="BH26" t="s">
        <v>1606</v>
      </c>
      <c r="BJ26" t="s">
        <v>1558</v>
      </c>
      <c r="BL26" t="s">
        <v>1558</v>
      </c>
      <c r="BQ26">
        <v>4190071</v>
      </c>
      <c r="BR26" t="s">
        <v>1677</v>
      </c>
    </row>
    <row r="27" spans="1:82" ht="11.25" customHeight="1" x14ac:dyDescent="0.15">
      <c r="A27" t="s">
        <v>1678</v>
      </c>
      <c r="B27">
        <v>2025</v>
      </c>
      <c r="J27" t="s">
        <v>106</v>
      </c>
      <c r="AX27" t="s">
        <v>1679</v>
      </c>
      <c r="BB27" t="s">
        <v>1680</v>
      </c>
      <c r="BC27" t="s">
        <v>1663</v>
      </c>
      <c r="BE27">
        <v>2025</v>
      </c>
      <c r="BH27" t="s">
        <v>28</v>
      </c>
      <c r="BJ27" t="s">
        <v>1565</v>
      </c>
      <c r="BL27" t="s">
        <v>1565</v>
      </c>
      <c r="BN27" t="s">
        <v>28</v>
      </c>
      <c r="BQ27">
        <v>4190072</v>
      </c>
      <c r="BR27" t="s">
        <v>1681</v>
      </c>
    </row>
    <row r="28" spans="1:82" ht="11.25" customHeight="1" x14ac:dyDescent="0.15">
      <c r="A28" t="s">
        <v>1682</v>
      </c>
      <c r="H28" t="s">
        <v>1683</v>
      </c>
      <c r="AX28" t="s">
        <v>1684</v>
      </c>
      <c r="AZ28" t="s">
        <v>1685</v>
      </c>
      <c r="BB28" t="s">
        <v>1686</v>
      </c>
      <c r="BC28" t="s">
        <v>1687</v>
      </c>
      <c r="BE28">
        <v>2026</v>
      </c>
      <c r="BH28" t="s">
        <v>28</v>
      </c>
      <c r="BJ28" t="s">
        <v>1572</v>
      </c>
      <c r="BL28" t="s">
        <v>1572</v>
      </c>
      <c r="BN28" t="s">
        <v>28</v>
      </c>
      <c r="BQ28">
        <v>4190073</v>
      </c>
      <c r="BR28" t="s">
        <v>1688</v>
      </c>
    </row>
    <row r="29" spans="1:82" ht="11.25" customHeight="1" x14ac:dyDescent="0.15">
      <c r="A29" t="s">
        <v>1689</v>
      </c>
      <c r="D29" t="s">
        <v>1690</v>
      </c>
      <c r="E29" t="str">
        <f>IF(TEMPLATE_GROUP="","",INDEX(StartDateList,MATCH(TEMPLATE_GROUP,CodeTemplateList,0),1))</f>
        <v>01.01.2024</v>
      </c>
      <c r="F29" t="str">
        <f>IF(TEMPLATE_GROUP="","",INDEX(EndDateList,MATCH(TEMPLATE_GROUP,CodeTemplateList,0),1))</f>
        <v>31.12.2028</v>
      </c>
      <c r="H29" t="s">
        <v>1691</v>
      </c>
      <c r="AX29" t="s">
        <v>1692</v>
      </c>
      <c r="AZ29" t="s">
        <v>1339</v>
      </c>
      <c r="BB29" t="s">
        <v>1540</v>
      </c>
      <c r="BE29">
        <v>2027</v>
      </c>
      <c r="BJ29" t="s">
        <v>1580</v>
      </c>
      <c r="BL29" t="s">
        <v>1580</v>
      </c>
    </row>
    <row r="30" spans="1:82" ht="11.25" customHeight="1" x14ac:dyDescent="0.15">
      <c r="A30" t="s">
        <v>1693</v>
      </c>
      <c r="AX30" t="s">
        <v>1694</v>
      </c>
      <c r="AZ30" t="s">
        <v>1366</v>
      </c>
      <c r="BE30">
        <v>2028</v>
      </c>
      <c r="BJ30" t="s">
        <v>1695</v>
      </c>
      <c r="BL30" t="s">
        <v>1695</v>
      </c>
    </row>
    <row r="31" spans="1:82" ht="12.75" customHeight="1" x14ac:dyDescent="0.15">
      <c r="A31" t="s">
        <v>1696</v>
      </c>
      <c r="AX31" t="s">
        <v>1697</v>
      </c>
      <c r="AZ31" t="s">
        <v>636</v>
      </c>
      <c r="BE31">
        <v>2029</v>
      </c>
      <c r="BJ31" t="s">
        <v>1698</v>
      </c>
      <c r="BL31" t="s">
        <v>1698</v>
      </c>
    </row>
    <row r="32" spans="1:82" ht="11.25" customHeight="1" x14ac:dyDescent="0.15">
      <c r="A32" t="s">
        <v>1699</v>
      </c>
      <c r="D32" t="s">
        <v>1700</v>
      </c>
      <c r="E32" t="str">
        <f>IF(TEMPLATE_GROUP="","",INDEX(StartDateList,MATCH(TEMPLATE_GROUP,CodeTemplateList,0),1))</f>
        <v>01.01.2024</v>
      </c>
      <c r="F32" t="str">
        <f>IF(TEMPLATE_GROUP="","",INDEX(EndDateList,MATCH(TEMPLATE_GROUP,CodeTemplateList,0),1))</f>
        <v>31.12.2028</v>
      </c>
      <c r="H32" t="s">
        <v>1701</v>
      </c>
      <c r="O32" t="s">
        <v>1336</v>
      </c>
      <c r="AX32" t="s">
        <v>1702</v>
      </c>
      <c r="AZ32" t="s">
        <v>637</v>
      </c>
      <c r="BE32">
        <v>2030</v>
      </c>
      <c r="BJ32" t="s">
        <v>1589</v>
      </c>
      <c r="BL32" t="s">
        <v>1589</v>
      </c>
    </row>
    <row r="33" spans="1:66" ht="11.25" customHeight="1" x14ac:dyDescent="0.15">
      <c r="A33" t="s">
        <v>1703</v>
      </c>
      <c r="O33" t="s">
        <v>1364</v>
      </c>
      <c r="AX33" t="s">
        <v>1704</v>
      </c>
      <c r="AZ33" t="s">
        <v>1338</v>
      </c>
      <c r="BE33">
        <v>2031</v>
      </c>
      <c r="BJ33" t="s">
        <v>1595</v>
      </c>
      <c r="BL33" t="s">
        <v>1595</v>
      </c>
    </row>
    <row r="34" spans="1:66" ht="11.25" customHeight="1" x14ac:dyDescent="0.15">
      <c r="A34" t="s">
        <v>1705</v>
      </c>
      <c r="O34" t="s">
        <v>1399</v>
      </c>
      <c r="AX34" t="s">
        <v>1706</v>
      </c>
      <c r="BE34">
        <v>2032</v>
      </c>
      <c r="BJ34" t="s">
        <v>1606</v>
      </c>
      <c r="BL34" t="s">
        <v>1606</v>
      </c>
    </row>
    <row r="35" spans="1:66" ht="11.25" customHeight="1" x14ac:dyDescent="0.15">
      <c r="A35" t="s">
        <v>1707</v>
      </c>
      <c r="O35" t="s">
        <v>1432</v>
      </c>
      <c r="AX35" t="s">
        <v>1708</v>
      </c>
      <c r="AZ35" t="s">
        <v>1709</v>
      </c>
      <c r="BE35">
        <v>2033</v>
      </c>
      <c r="BL35" t="s">
        <v>1710</v>
      </c>
    </row>
    <row r="36" spans="1:66" ht="11.25" customHeight="1" x14ac:dyDescent="0.15">
      <c r="A36" t="s">
        <v>1711</v>
      </c>
      <c r="D36" t="s">
        <v>1712</v>
      </c>
      <c r="E36" t="s">
        <v>1023</v>
      </c>
      <c r="F36" t="str">
        <f>INDEX(E37:E41,MATCH(TEMPLATE_SPHERE,F37:F41,0))</f>
        <v>водоотведения</v>
      </c>
      <c r="G36" t="str">
        <f>INDEX(G37:G41,MATCH(TEMPLATE_SPHERE,F37:F41,0))</f>
        <v>водоотведение</v>
      </c>
      <c r="O36" t="s">
        <v>1456</v>
      </c>
      <c r="AX36" t="s">
        <v>1713</v>
      </c>
      <c r="AZ36" t="s">
        <v>1338</v>
      </c>
      <c r="BE36">
        <v>2034</v>
      </c>
      <c r="BL36" t="s">
        <v>1714</v>
      </c>
    </row>
    <row r="37" spans="1:66" ht="11.25" customHeight="1" x14ac:dyDescent="0.15">
      <c r="A37" t="s">
        <v>1715</v>
      </c>
      <c r="E37" t="s">
        <v>1716</v>
      </c>
      <c r="F37" t="s">
        <v>924</v>
      </c>
      <c r="G37" t="s">
        <v>1717</v>
      </c>
      <c r="O37" t="s">
        <v>1475</v>
      </c>
      <c r="AX37" t="s">
        <v>1718</v>
      </c>
      <c r="AZ37" t="s">
        <v>1365</v>
      </c>
      <c r="BE37">
        <v>2035</v>
      </c>
    </row>
    <row r="38" spans="1:66" ht="11.25" customHeight="1" x14ac:dyDescent="0.15">
      <c r="A38" t="s">
        <v>1719</v>
      </c>
      <c r="E38" t="s">
        <v>1720</v>
      </c>
      <c r="F38" t="s">
        <v>970</v>
      </c>
      <c r="G38" t="s">
        <v>1721</v>
      </c>
      <c r="O38" t="s">
        <v>1492</v>
      </c>
      <c r="AX38" t="s">
        <v>1722</v>
      </c>
      <c r="AZ38" t="s">
        <v>1400</v>
      </c>
      <c r="BE38">
        <v>2036</v>
      </c>
      <c r="BH38" t="s">
        <v>1723</v>
      </c>
      <c r="BJ38" t="s">
        <v>1724</v>
      </c>
      <c r="BL38" t="s">
        <v>1725</v>
      </c>
      <c r="BN38" t="s">
        <v>1726</v>
      </c>
    </row>
    <row r="39" spans="1:66" ht="11.25" customHeight="1" x14ac:dyDescent="0.15">
      <c r="A39" t="s">
        <v>1727</v>
      </c>
      <c r="E39" t="s">
        <v>1728</v>
      </c>
      <c r="F39" t="s">
        <v>1023</v>
      </c>
      <c r="G39" t="s">
        <v>1729</v>
      </c>
      <c r="O39" t="s">
        <v>1508</v>
      </c>
      <c r="AX39" t="s">
        <v>1730</v>
      </c>
      <c r="AZ39" t="s">
        <v>1433</v>
      </c>
      <c r="BE39">
        <v>2037</v>
      </c>
      <c r="BH39" t="s">
        <v>1731</v>
      </c>
      <c r="BJ39" t="s">
        <v>1731</v>
      </c>
      <c r="BL39" t="s">
        <v>1731</v>
      </c>
      <c r="BN39" t="s">
        <v>1732</v>
      </c>
    </row>
    <row r="40" spans="1:66" ht="11.25" customHeight="1" x14ac:dyDescent="0.15">
      <c r="A40" t="s">
        <v>1733</v>
      </c>
      <c r="E40" t="s">
        <v>1734</v>
      </c>
      <c r="F40" t="s">
        <v>1010</v>
      </c>
      <c r="G40" t="s">
        <v>1735</v>
      </c>
      <c r="O40" t="s">
        <v>1524</v>
      </c>
      <c r="AX40" t="s">
        <v>1736</v>
      </c>
      <c r="BE40">
        <v>2038</v>
      </c>
      <c r="BH40" t="s">
        <v>1737</v>
      </c>
      <c r="BJ40" t="s">
        <v>1143</v>
      </c>
      <c r="BL40" t="s">
        <v>1143</v>
      </c>
      <c r="BN40" t="s">
        <v>1177</v>
      </c>
    </row>
    <row r="41" spans="1:66" ht="11.25" customHeight="1" x14ac:dyDescent="0.15">
      <c r="A41" t="s">
        <v>1738</v>
      </c>
      <c r="E41" t="s">
        <v>1739</v>
      </c>
      <c r="F41" t="s">
        <v>1740</v>
      </c>
      <c r="G41" t="s">
        <v>1739</v>
      </c>
      <c r="O41" t="s">
        <v>1540</v>
      </c>
      <c r="AX41" t="s">
        <v>1741</v>
      </c>
      <c r="AZ41" t="s">
        <v>1742</v>
      </c>
      <c r="BE41">
        <v>2039</v>
      </c>
      <c r="BH41" t="s">
        <v>1743</v>
      </c>
      <c r="BJ41" t="s">
        <v>1139</v>
      </c>
      <c r="BL41" t="s">
        <v>1139</v>
      </c>
      <c r="BN41" t="s">
        <v>1164</v>
      </c>
    </row>
    <row r="42" spans="1:66" ht="11.25" customHeight="1" x14ac:dyDescent="0.15">
      <c r="A42" t="s">
        <v>1744</v>
      </c>
      <c r="AX42" t="s">
        <v>1745</v>
      </c>
      <c r="AZ42" t="s">
        <v>1336</v>
      </c>
      <c r="BE42">
        <v>2040</v>
      </c>
      <c r="BH42" t="s">
        <v>1161</v>
      </c>
      <c r="BJ42" t="s">
        <v>1141</v>
      </c>
      <c r="BL42" t="s">
        <v>1141</v>
      </c>
      <c r="BN42" t="s">
        <v>1746</v>
      </c>
    </row>
    <row r="43" spans="1:66" ht="11.25" customHeight="1" x14ac:dyDescent="0.15">
      <c r="A43" t="s">
        <v>1747</v>
      </c>
      <c r="AX43" t="s">
        <v>1748</v>
      </c>
      <c r="AZ43" t="s">
        <v>1364</v>
      </c>
      <c r="BE43">
        <v>2041</v>
      </c>
      <c r="BH43" t="s">
        <v>1749</v>
      </c>
      <c r="BJ43" t="s">
        <v>1743</v>
      </c>
      <c r="BL43" t="s">
        <v>1743</v>
      </c>
      <c r="BN43" t="s">
        <v>1750</v>
      </c>
    </row>
    <row r="44" spans="1:66" ht="11.25" customHeight="1" x14ac:dyDescent="0.15">
      <c r="A44" t="s">
        <v>1751</v>
      </c>
      <c r="G44">
        <f ca="1">YEAR(TODAY())</f>
        <v>2025</v>
      </c>
      <c r="I44" t="s">
        <v>1752</v>
      </c>
      <c r="J44" t="s">
        <v>1753</v>
      </c>
      <c r="K44" t="s">
        <v>1754</v>
      </c>
      <c r="AX44" t="s">
        <v>1755</v>
      </c>
      <c r="AZ44" t="s">
        <v>1399</v>
      </c>
      <c r="BE44">
        <v>2042</v>
      </c>
      <c r="BH44" t="s">
        <v>1756</v>
      </c>
      <c r="BJ44" t="s">
        <v>1161</v>
      </c>
      <c r="BL44" t="s">
        <v>1161</v>
      </c>
      <c r="BN44" t="s">
        <v>1757</v>
      </c>
    </row>
    <row r="45" spans="1:66" ht="11.25" customHeight="1" x14ac:dyDescent="0.15">
      <c r="A45" t="s">
        <v>1758</v>
      </c>
      <c r="D45" t="s">
        <v>1759</v>
      </c>
      <c r="E45" t="s">
        <v>1760</v>
      </c>
      <c r="F45" t="s">
        <v>1761</v>
      </c>
      <c r="G45" t="s">
        <v>1762</v>
      </c>
      <c r="H45" t="s">
        <v>1763</v>
      </c>
      <c r="I45" t="b">
        <f>INDEX(PeriodIsEmptyList,MATCH(TEMPLATE_GROUP,CodeTemplateList,0),1)</f>
        <v>0</v>
      </c>
      <c r="J45" t="str">
        <f>INDEX(NameTemplatesInTitleList,MATCH(TEMPLATE_GROUP,CodeTemplateList,0),1)</f>
        <v>Показатели, подлежащие раскрытию в сфере водоотведения (цены и тарифы)</v>
      </c>
      <c r="K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t="s">
        <v>1764</v>
      </c>
      <c r="AZ45" t="s">
        <v>1432</v>
      </c>
      <c r="BE45">
        <v>2043</v>
      </c>
      <c r="BH45" t="s">
        <v>1765</v>
      </c>
      <c r="BJ45" t="s">
        <v>1155</v>
      </c>
      <c r="BL45" t="s">
        <v>1155</v>
      </c>
      <c r="BN45" t="s">
        <v>1766</v>
      </c>
    </row>
    <row r="46" spans="1:66" ht="11.25" customHeight="1" x14ac:dyDescent="0.15">
      <c r="A46" t="s">
        <v>1767</v>
      </c>
      <c r="E46" t="s">
        <v>26</v>
      </c>
      <c r="F46" t="s">
        <v>1768</v>
      </c>
      <c r="G46" t="str">
        <f ca="1">IFERROR(IF(TITLE_DATE_FIL="","01.01."&amp;CURRENT_YEAR,"01.01."&amp;YEAR(TITLE_DATE_FIL)),"01.01."&amp;CURRENT_YEAR)</f>
        <v>01.01.2025</v>
      </c>
      <c r="H46" t="str">
        <f ca="1">IFERROR(IF(TITLE_DATE_FIL="","31.12."&amp;CURRENT_YEAR,"31.12."&amp;YEAR(TITLE_DATE_FIL)),"31.12."&amp;CURRENT_YEAR)</f>
        <v>31.12.2025</v>
      </c>
      <c r="I46" t="b">
        <f>IF(TITLE_DATE_FIL="",TRUE,FALSE)</f>
        <v>1</v>
      </c>
      <c r="J46" t="str">
        <f>"Общая информация о регулируемой организации ("&amp;TEMPLATE_SPHERE_RUS&amp;")"</f>
        <v>Общая информация о регулируемой организации (водоотведения)</v>
      </c>
      <c r="AX46" t="s">
        <v>108</v>
      </c>
      <c r="AZ46" t="s">
        <v>1456</v>
      </c>
      <c r="BE46">
        <v>2044</v>
      </c>
      <c r="BH46" t="s">
        <v>1164</v>
      </c>
      <c r="BJ46" t="s">
        <v>1145</v>
      </c>
      <c r="BL46" t="s">
        <v>1145</v>
      </c>
      <c r="BN46" t="s">
        <v>1769</v>
      </c>
    </row>
    <row r="47" spans="1:66" ht="11.25" customHeight="1" x14ac:dyDescent="0.15">
      <c r="A47" t="s">
        <v>1770</v>
      </c>
      <c r="E47" t="s">
        <v>33</v>
      </c>
      <c r="F47" t="s">
        <v>1771</v>
      </c>
      <c r="G47" t="str">
        <f ca="1">IFERROR(IF(f_year="","01.01."&amp;CURRENT_YEAR,IF(LEN(f_quart)=0,"01.01."&amp;f_year,IF(f_quart="I квартал","01.01."&amp;f_year,IF(f_quart="II квартал","01.04."&amp;f_year,(IF(f_quart="III квартал","01.07."&amp;f_year,"01.10."&amp;f_year)))))),"01.01."&amp;CURRENT_YEAR)</f>
        <v>01.01.2025</v>
      </c>
      <c r="H47" t="str">
        <f ca="1">IFERROR(IF(f_year="","31.12."&amp;CURRENT_YEAR,IF(LEN(f_quart)=0,"31.12."&amp;f_year,IF(f_quart="I квартал","31.03."&amp;f_year,IF(f_quart="II квартал","30.06."&amp;f_year,(IF(f_quart="III квартал","30.09."&amp;f_year,"31.12."&amp;f_year)))))),"31.12."&amp;CURRENT_YEAR)</f>
        <v>31.12.2025</v>
      </c>
      <c r="I47" t="b">
        <f>IF(OR(f_year="",f_quart=""),TRUE,FALSE)</f>
        <v>1</v>
      </c>
      <c r="J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AX47" t="s">
        <v>1772</v>
      </c>
      <c r="AZ47" t="s">
        <v>1475</v>
      </c>
      <c r="BE47">
        <v>2045</v>
      </c>
      <c r="BH47" t="s">
        <v>1746</v>
      </c>
      <c r="BJ47" t="s">
        <v>1147</v>
      </c>
      <c r="BL47" t="s">
        <v>1147</v>
      </c>
      <c r="BN47" t="s">
        <v>1773</v>
      </c>
    </row>
    <row r="48" spans="1:66" ht="11.25" customHeight="1" x14ac:dyDescent="0.15">
      <c r="A48" t="s">
        <v>1774</v>
      </c>
      <c r="E48" t="s">
        <v>1775</v>
      </c>
      <c r="F48" t="s">
        <v>1776</v>
      </c>
      <c r="G48" t="str">
        <f ca="1">IFERROR(IF(f_year="","01.01."&amp;CURRENT_YEAR,"01.01."&amp;f_year),"01.01."&amp;CURRENT_YEAR)</f>
        <v>01.01.2025</v>
      </c>
      <c r="H48" t="str">
        <f ca="1">IFERROR(IF(f_year="","31.12."&amp;CURRENT_YEAR,"31.12."&amp;f_year),"31.12."&amp;CURRENT_YEAR)</f>
        <v>31.12.2025</v>
      </c>
      <c r="I48" t="b">
        <f>IF(f_year="",TRUE,FALSE)</f>
        <v>1</v>
      </c>
      <c r="J48" t="s">
        <v>1777</v>
      </c>
      <c r="AX48" t="s">
        <v>1778</v>
      </c>
      <c r="AZ48" t="s">
        <v>1492</v>
      </c>
      <c r="BE48">
        <v>2046</v>
      </c>
      <c r="BH48" t="s">
        <v>1750</v>
      </c>
      <c r="BJ48" t="s">
        <v>1149</v>
      </c>
      <c r="BL48" t="s">
        <v>1149</v>
      </c>
      <c r="BN48" t="s">
        <v>1779</v>
      </c>
    </row>
    <row r="49" spans="1:64" ht="11.25" customHeight="1" x14ac:dyDescent="0.15">
      <c r="A49" t="s">
        <v>16</v>
      </c>
      <c r="E49" t="s">
        <v>1780</v>
      </c>
      <c r="F49" t="s">
        <v>1781</v>
      </c>
      <c r="G49" t="str">
        <f ca="1">IFERROR(IF(f_year="","01.01."&amp;CURRENT_YEAR,"01.01."&amp;f_year),"01.01."&amp;CURRENT_YEAR)</f>
        <v>01.01.2025</v>
      </c>
      <c r="H49" t="str">
        <f ca="1">IFERROR(IF(f_year="","31.12."&amp;CURRENT_YEAR,"31.12."&amp;f_year),"31.12."&amp;CURRENT_YEAR)</f>
        <v>31.12.2025</v>
      </c>
      <c r="I49" t="b">
        <f>IF(f_year="",TRUE,FALSE)</f>
        <v>1</v>
      </c>
      <c r="J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AX49" t="s">
        <v>1782</v>
      </c>
      <c r="AZ49" t="s">
        <v>1508</v>
      </c>
      <c r="BE49">
        <v>2047</v>
      </c>
      <c r="BH49" t="s">
        <v>1165</v>
      </c>
      <c r="BJ49" t="s">
        <v>1151</v>
      </c>
      <c r="BL49" t="s">
        <v>1151</v>
      </c>
    </row>
    <row r="50" spans="1:64" ht="11.25" customHeight="1" x14ac:dyDescent="0.15">
      <c r="A50" t="s">
        <v>1783</v>
      </c>
      <c r="E50" t="s">
        <v>1784</v>
      </c>
      <c r="F50" t="s">
        <v>1135</v>
      </c>
      <c r="G50" t="str">
        <f ca="1">IFERROR(IF(f_year="","01.01."&amp;CURRENT_YEAR,"01.01."&amp;f_year),"01.01."&amp;CURRENT_YEAR)</f>
        <v>01.01.2025</v>
      </c>
      <c r="H50" t="str">
        <f ca="1">IFERROR(IF(f_year="","31.12."&amp;CURRENT_YEAR,"31.12."&amp;f_year),"31.12."&amp;CURRENT_YEAR)</f>
        <v>31.12.2025</v>
      </c>
      <c r="I50" t="b">
        <f>IF(f_year="",TRUE,FALSE)</f>
        <v>1</v>
      </c>
      <c r="J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AX50" t="s">
        <v>1785</v>
      </c>
      <c r="AZ50" t="s">
        <v>1524</v>
      </c>
      <c r="BE50">
        <v>2048</v>
      </c>
      <c r="BH50" t="s">
        <v>1757</v>
      </c>
      <c r="BJ50" t="s">
        <v>1153</v>
      </c>
      <c r="BL50" t="s">
        <v>1153</v>
      </c>
    </row>
    <row r="51" spans="1:64" ht="11.25" customHeight="1" x14ac:dyDescent="0.15">
      <c r="A51" t="s">
        <v>1786</v>
      </c>
      <c r="E51" t="s">
        <v>1787</v>
      </c>
      <c r="F51" t="s">
        <v>1788</v>
      </c>
      <c r="G51" t="str">
        <f>IFERROR(IF(TITLE_PERIOD_START="","01.01."&amp;CURRENT_YEAR,"01.01."&amp;YEAR(TITLE_PERIOD_START)),"01.01."&amp;CURRENT_YEAR)</f>
        <v>01.01.2024</v>
      </c>
      <c r="H51" t="str">
        <f>IFERROR(IF(TITLE_PERIOD_END="","31.12."&amp;CURRENT_YEAR,"31.12."&amp;YEAR(TITLE_PERIOD_END)),"31.12."&amp;CURRENT_YEAR)</f>
        <v>31.12.2028</v>
      </c>
      <c r="I51" t="b">
        <f>IF(OR(TITLE_PERIOD_START="",TITLE_PERIOD_END=""),TRUE,FALSE)</f>
        <v>0</v>
      </c>
      <c r="J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t="s">
        <v>1789</v>
      </c>
      <c r="AZ51" t="s">
        <v>1540</v>
      </c>
      <c r="BE51">
        <v>2049</v>
      </c>
      <c r="BH51" t="s">
        <v>1766</v>
      </c>
      <c r="BJ51" t="s">
        <v>1790</v>
      </c>
      <c r="BL51" t="s">
        <v>1790</v>
      </c>
    </row>
    <row r="52" spans="1:64" ht="11.25" customHeight="1" x14ac:dyDescent="0.15">
      <c r="A52" t="s">
        <v>1791</v>
      </c>
      <c r="E52" t="s">
        <v>1792</v>
      </c>
      <c r="F52" t="s">
        <v>1760</v>
      </c>
      <c r="G52" t="str">
        <f>IFERROR(IF(TITLE_PERIOD_START="","01.01."&amp;CURRENT_YEAR,"01.01."&amp;YEAR(TITLE_PERIOD_START)),"01.01."&amp;CURRENT_YEAR)</f>
        <v>01.01.2024</v>
      </c>
      <c r="H52" t="str">
        <f>IFERROR(IF(TITLE_PERIOD_END="","31.12."&amp;CURRENT_YEAR,"31.12."&amp;YEAR(TITLE_PERIOD_END)),"31.12."&amp;CURRENT_YEAR)</f>
        <v>31.12.2028</v>
      </c>
      <c r="I52" t="b">
        <f>IF(OR(TITLE_PERIOD_START="",TITLE_PERIOD_END=""),TRUE,FALSE)</f>
        <v>0</v>
      </c>
      <c r="J52" t="str">
        <f>"Показатели, подлежащие раскрытию в сфере "&amp;TEMPLATE_SPHERE_RUS&amp;" (цены и тарифы)"</f>
        <v>Показатели, подлежащие раскрытию в сфере водоотведения (цены и тарифы)</v>
      </c>
      <c r="AX52" t="s">
        <v>1793</v>
      </c>
      <c r="AZ52" t="s">
        <v>1338</v>
      </c>
      <c r="BE52">
        <v>2050</v>
      </c>
      <c r="BH52" t="s">
        <v>1769</v>
      </c>
      <c r="BJ52" t="s">
        <v>1164</v>
      </c>
      <c r="BL52" t="s">
        <v>1164</v>
      </c>
    </row>
    <row r="53" spans="1:64" ht="11.25" customHeight="1" x14ac:dyDescent="0.15">
      <c r="A53" t="s">
        <v>1794</v>
      </c>
      <c r="E53" t="s">
        <v>1795</v>
      </c>
      <c r="F53" t="s">
        <v>1795</v>
      </c>
      <c r="G53" t="str">
        <f ca="1">IFERROR(IF(f_year="","01.01."&amp;CURRENT_YEAR,"01.01."&amp;f_year),"01.01."&amp;CURRENT_YEAR)</f>
        <v>01.01.2025</v>
      </c>
      <c r="H53" t="str">
        <f ca="1">IFERROR(IF(f_year="","31.12."&amp;CURRENT_YEAR,"31.12."&amp;f_year),"31.12."&amp;CURRENT_YEAR)</f>
        <v>31.12.2025</v>
      </c>
      <c r="I53" t="b">
        <f>IF(AND(f_year="",TITLE_DATE_FIL=""),TRUE,FALSE)</f>
        <v>1</v>
      </c>
      <c r="J53" t="s">
        <v>1796</v>
      </c>
      <c r="AX53" t="s">
        <v>1797</v>
      </c>
      <c r="BE53">
        <v>2051</v>
      </c>
      <c r="BH53" t="s">
        <v>1773</v>
      </c>
      <c r="BJ53" t="s">
        <v>1746</v>
      </c>
      <c r="BL53" t="s">
        <v>1746</v>
      </c>
    </row>
    <row r="54" spans="1:64" ht="11.25" customHeight="1" x14ac:dyDescent="0.15">
      <c r="A54" t="s">
        <v>1798</v>
      </c>
      <c r="AX54" t="s">
        <v>1799</v>
      </c>
      <c r="AZ54" t="s">
        <v>1800</v>
      </c>
      <c r="BE54">
        <v>2052</v>
      </c>
      <c r="BH54" t="s">
        <v>1779</v>
      </c>
      <c r="BJ54" t="s">
        <v>1750</v>
      </c>
      <c r="BL54" t="s">
        <v>1750</v>
      </c>
    </row>
    <row r="55" spans="1:64" ht="11.25" customHeight="1" x14ac:dyDescent="0.15">
      <c r="A55" t="s">
        <v>1801</v>
      </c>
      <c r="AX55" t="s">
        <v>1802</v>
      </c>
      <c r="AZ55" t="s">
        <v>1340</v>
      </c>
      <c r="BE55">
        <v>2053</v>
      </c>
      <c r="BH55" t="s">
        <v>28</v>
      </c>
      <c r="BJ55" t="s">
        <v>1165</v>
      </c>
      <c r="BL55" t="s">
        <v>1165</v>
      </c>
    </row>
    <row r="56" spans="1:64" ht="11.25" customHeight="1" x14ac:dyDescent="0.15">
      <c r="A56" t="s">
        <v>1803</v>
      </c>
      <c r="D56" t="s">
        <v>1804</v>
      </c>
      <c r="E56" t="s">
        <v>1805</v>
      </c>
      <c r="F56" t="s">
        <v>1806</v>
      </c>
      <c r="AX56" t="s">
        <v>1807</v>
      </c>
      <c r="AZ56" t="s">
        <v>1367</v>
      </c>
      <c r="BE56">
        <v>2054</v>
      </c>
      <c r="BH56" t="s">
        <v>28</v>
      </c>
      <c r="BJ56" t="s">
        <v>1757</v>
      </c>
      <c r="BL56" t="s">
        <v>1757</v>
      </c>
    </row>
    <row r="57" spans="1:64" ht="11.25" customHeight="1" x14ac:dyDescent="0.15">
      <c r="A57" t="s">
        <v>1808</v>
      </c>
      <c r="D57" t="s">
        <v>1809</v>
      </c>
      <c r="E57" t="s">
        <v>120</v>
      </c>
      <c r="F57" t="s">
        <v>1806</v>
      </c>
      <c r="AX57" t="s">
        <v>1810</v>
      </c>
      <c r="AZ57" t="s">
        <v>1402</v>
      </c>
      <c r="BE57">
        <v>2055</v>
      </c>
      <c r="BJ57" t="s">
        <v>1766</v>
      </c>
      <c r="BL57" t="s">
        <v>1766</v>
      </c>
    </row>
    <row r="58" spans="1:64" ht="11.25" customHeight="1" x14ac:dyDescent="0.15">
      <c r="A58" t="s">
        <v>1811</v>
      </c>
      <c r="D58" t="s">
        <v>1812</v>
      </c>
      <c r="E58" t="s">
        <v>120</v>
      </c>
      <c r="F58" t="s">
        <v>1806</v>
      </c>
      <c r="AX58" t="s">
        <v>1813</v>
      </c>
      <c r="BE58">
        <v>2056</v>
      </c>
      <c r="BJ58" t="s">
        <v>1769</v>
      </c>
      <c r="BL58" t="s">
        <v>1769</v>
      </c>
    </row>
    <row r="59" spans="1:64" ht="11.25" customHeight="1" x14ac:dyDescent="0.15">
      <c r="A59" t="s">
        <v>1814</v>
      </c>
      <c r="D59" t="s">
        <v>187</v>
      </c>
      <c r="E59" t="s">
        <v>1702</v>
      </c>
      <c r="F59" t="s">
        <v>1815</v>
      </c>
      <c r="AX59" t="s">
        <v>1816</v>
      </c>
      <c r="AZ59" t="s">
        <v>1817</v>
      </c>
      <c r="BE59">
        <v>2057</v>
      </c>
      <c r="BJ59" t="s">
        <v>1773</v>
      </c>
      <c r="BL59" t="s">
        <v>1773</v>
      </c>
    </row>
    <row r="60" spans="1:64" ht="11.25" customHeight="1" x14ac:dyDescent="0.15">
      <c r="A60" t="s">
        <v>1818</v>
      </c>
      <c r="D60" t="s">
        <v>1819</v>
      </c>
      <c r="E60" t="s">
        <v>1702</v>
      </c>
      <c r="F60" t="s">
        <v>1815</v>
      </c>
      <c r="AX60" t="s">
        <v>1820</v>
      </c>
      <c r="AZ60" t="s">
        <v>1341</v>
      </c>
      <c r="BE60">
        <v>2058</v>
      </c>
      <c r="BJ60" t="s">
        <v>1779</v>
      </c>
      <c r="BL60" t="s">
        <v>1779</v>
      </c>
    </row>
    <row r="61" spans="1:64" ht="11.25" customHeight="1" x14ac:dyDescent="0.15">
      <c r="A61" t="s">
        <v>1821</v>
      </c>
      <c r="D61" t="s">
        <v>1822</v>
      </c>
      <c r="E61" t="s">
        <v>1702</v>
      </c>
      <c r="F61" t="s">
        <v>1815</v>
      </c>
      <c r="AX61" t="s">
        <v>1823</v>
      </c>
      <c r="AZ61" t="s">
        <v>1368</v>
      </c>
      <c r="BE61">
        <v>2059</v>
      </c>
      <c r="BL61" t="s">
        <v>1157</v>
      </c>
    </row>
    <row r="62" spans="1:64" ht="11.25" customHeight="1" x14ac:dyDescent="0.15">
      <c r="A62" t="s">
        <v>1824</v>
      </c>
      <c r="D62" t="s">
        <v>186</v>
      </c>
      <c r="E62">
        <v>42</v>
      </c>
      <c r="F62" t="s">
        <v>1815</v>
      </c>
      <c r="AZ62" t="s">
        <v>1403</v>
      </c>
      <c r="BE62">
        <v>2060</v>
      </c>
      <c r="BL62" t="s">
        <v>1159</v>
      </c>
    </row>
    <row r="63" spans="1:64" ht="11.25" customHeight="1" x14ac:dyDescent="0.15">
      <c r="A63" t="s">
        <v>1825</v>
      </c>
      <c r="D63" t="s">
        <v>1826</v>
      </c>
      <c r="E63">
        <v>48</v>
      </c>
      <c r="F63" t="s">
        <v>1815</v>
      </c>
      <c r="AZ63" t="s">
        <v>1434</v>
      </c>
      <c r="BE63">
        <v>2061</v>
      </c>
    </row>
    <row r="64" spans="1:64" ht="11.25" customHeight="1" x14ac:dyDescent="0.15">
      <c r="A64" t="s">
        <v>1827</v>
      </c>
      <c r="D64" t="s">
        <v>1828</v>
      </c>
      <c r="E64">
        <v>48</v>
      </c>
      <c r="F64" t="s">
        <v>1815</v>
      </c>
      <c r="AZ64" t="s">
        <v>1457</v>
      </c>
      <c r="BE64">
        <v>2062</v>
      </c>
    </row>
    <row r="65" spans="1:66" ht="11.25" customHeight="1" x14ac:dyDescent="0.15">
      <c r="A65" t="s">
        <v>1829</v>
      </c>
      <c r="BE65">
        <v>2063</v>
      </c>
    </row>
    <row r="66" spans="1:66" ht="11.25" customHeight="1" x14ac:dyDescent="0.15">
      <c r="A66" t="s">
        <v>1830</v>
      </c>
      <c r="AZ66" t="s">
        <v>1831</v>
      </c>
      <c r="BE66">
        <v>2064</v>
      </c>
    </row>
    <row r="67" spans="1:66" ht="11.25" customHeight="1" x14ac:dyDescent="0.15">
      <c r="A67" t="s">
        <v>1832</v>
      </c>
      <c r="AZ67" t="s">
        <v>1342</v>
      </c>
      <c r="BE67">
        <v>2065</v>
      </c>
    </row>
    <row r="68" spans="1:66" ht="11.25" customHeight="1" x14ac:dyDescent="0.15">
      <c r="A68" t="s">
        <v>1833</v>
      </c>
      <c r="AZ68" t="s">
        <v>1369</v>
      </c>
      <c r="BE68">
        <v>2066</v>
      </c>
      <c r="BH68" t="s">
        <v>1834</v>
      </c>
      <c r="BJ68" t="s">
        <v>1835</v>
      </c>
      <c r="BL68" t="s">
        <v>1836</v>
      </c>
      <c r="BN68" t="s">
        <v>1837</v>
      </c>
    </row>
    <row r="69" spans="1:66" ht="11.25" customHeight="1" x14ac:dyDescent="0.15">
      <c r="A69" t="s">
        <v>1838</v>
      </c>
      <c r="AZ69" t="s">
        <v>1404</v>
      </c>
      <c r="BE69">
        <v>2067</v>
      </c>
      <c r="BH69" t="s">
        <v>1839</v>
      </c>
      <c r="BI69" t="s">
        <v>101</v>
      </c>
      <c r="BJ69" t="s">
        <v>1840</v>
      </c>
      <c r="BK69" t="s">
        <v>101</v>
      </c>
      <c r="BL69" t="s">
        <v>1841</v>
      </c>
      <c r="BM69" t="s">
        <v>101</v>
      </c>
      <c r="BN69" t="s">
        <v>1842</v>
      </c>
    </row>
    <row r="70" spans="1:66" ht="11.25" customHeight="1" x14ac:dyDescent="0.15">
      <c r="A70" t="s">
        <v>1843</v>
      </c>
      <c r="AZ70" t="s">
        <v>1435</v>
      </c>
      <c r="BE70">
        <v>2068</v>
      </c>
      <c r="BH70" t="s">
        <v>1844</v>
      </c>
      <c r="BJ70" t="s">
        <v>1845</v>
      </c>
      <c r="BL70" t="s">
        <v>1846</v>
      </c>
      <c r="BN70" t="s">
        <v>1847</v>
      </c>
    </row>
    <row r="71" spans="1:66" ht="11.25" customHeight="1" x14ac:dyDescent="0.15">
      <c r="A71" t="s">
        <v>1848</v>
      </c>
      <c r="AZ71" t="s">
        <v>1437</v>
      </c>
      <c r="BE71">
        <v>2069</v>
      </c>
      <c r="BH71" t="s">
        <v>1849</v>
      </c>
      <c r="BI71" t="s">
        <v>92</v>
      </c>
      <c r="BJ71" t="s">
        <v>1850</v>
      </c>
      <c r="BK71" t="s">
        <v>92</v>
      </c>
      <c r="BL71" t="s">
        <v>1851</v>
      </c>
      <c r="BM71" t="s">
        <v>92</v>
      </c>
      <c r="BN71" t="s">
        <v>1852</v>
      </c>
    </row>
    <row r="72" spans="1:66" ht="11.25" customHeight="1" x14ac:dyDescent="0.15">
      <c r="A72" t="s">
        <v>1853</v>
      </c>
      <c r="AZ72" t="s">
        <v>19</v>
      </c>
      <c r="BE72">
        <v>2070</v>
      </c>
      <c r="BH72" t="s">
        <v>1854</v>
      </c>
      <c r="BJ72" t="s">
        <v>1854</v>
      </c>
      <c r="BL72" t="s">
        <v>1854</v>
      </c>
      <c r="BN72" t="s">
        <v>1855</v>
      </c>
    </row>
    <row r="73" spans="1:66" ht="11.25" customHeight="1" x14ac:dyDescent="0.15">
      <c r="A73" t="s">
        <v>1856</v>
      </c>
      <c r="BH73" t="s">
        <v>1857</v>
      </c>
      <c r="BI73" t="s">
        <v>120</v>
      </c>
      <c r="BJ73" t="s">
        <v>1858</v>
      </c>
      <c r="BK73" t="s">
        <v>120</v>
      </c>
      <c r="BL73" t="s">
        <v>1859</v>
      </c>
      <c r="BM73" t="s">
        <v>120</v>
      </c>
      <c r="BN73" t="s">
        <v>1860</v>
      </c>
    </row>
    <row r="74" spans="1:66" ht="11.25" customHeight="1" x14ac:dyDescent="0.15">
      <c r="A74" t="s">
        <v>1861</v>
      </c>
      <c r="BH74" t="s">
        <v>1862</v>
      </c>
      <c r="BJ74" t="s">
        <v>1863</v>
      </c>
      <c r="BL74" t="s">
        <v>1864</v>
      </c>
      <c r="BN74" t="s">
        <v>1865</v>
      </c>
    </row>
    <row r="75" spans="1:66" ht="11.25" customHeight="1" x14ac:dyDescent="0.15">
      <c r="A75" t="s">
        <v>1866</v>
      </c>
      <c r="AZ75" t="s">
        <v>1867</v>
      </c>
      <c r="BH75" t="s">
        <v>1868</v>
      </c>
      <c r="BJ75" t="s">
        <v>1868</v>
      </c>
      <c r="BL75" t="s">
        <v>1868</v>
      </c>
    </row>
    <row r="76" spans="1:66" ht="11.25" customHeight="1" x14ac:dyDescent="0.15">
      <c r="A76" t="s">
        <v>1869</v>
      </c>
      <c r="AZ76" t="s">
        <v>1351</v>
      </c>
      <c r="BH76" t="s">
        <v>1870</v>
      </c>
      <c r="BJ76" t="s">
        <v>1871</v>
      </c>
      <c r="BL76" t="s">
        <v>1872</v>
      </c>
    </row>
    <row r="77" spans="1:66" ht="11.25" customHeight="1" x14ac:dyDescent="0.15">
      <c r="A77" t="s">
        <v>1873</v>
      </c>
      <c r="AZ77" t="s">
        <v>1379</v>
      </c>
    </row>
    <row r="78" spans="1:66" ht="11.25" customHeight="1" x14ac:dyDescent="0.15">
      <c r="A78" t="s">
        <v>1874</v>
      </c>
      <c r="AZ78" t="s">
        <v>1411</v>
      </c>
    </row>
    <row r="79" spans="1:66" ht="11.25" customHeight="1" x14ac:dyDescent="0.15">
      <c r="A79" t="s">
        <v>1875</v>
      </c>
      <c r="AZ79" t="s">
        <v>1441</v>
      </c>
      <c r="BH79" t="s">
        <v>1876</v>
      </c>
      <c r="BJ79" t="s">
        <v>1877</v>
      </c>
      <c r="BL79" t="s">
        <v>1878</v>
      </c>
    </row>
    <row r="80" spans="1:66" ht="11.25" customHeight="1" x14ac:dyDescent="0.15">
      <c r="A80" t="s">
        <v>1879</v>
      </c>
      <c r="AZ80" t="s">
        <v>1462</v>
      </c>
      <c r="BH80" t="s">
        <v>1880</v>
      </c>
      <c r="BJ80" t="s">
        <v>1881</v>
      </c>
      <c r="BL80" t="s">
        <v>1882</v>
      </c>
    </row>
    <row r="81" spans="1:66" ht="11.25" customHeight="1" x14ac:dyDescent="0.15">
      <c r="A81" t="s">
        <v>1883</v>
      </c>
      <c r="AZ81" t="s">
        <v>1479</v>
      </c>
      <c r="BH81" t="s">
        <v>1884</v>
      </c>
      <c r="BJ81" t="s">
        <v>1885</v>
      </c>
      <c r="BL81" t="s">
        <v>1886</v>
      </c>
    </row>
    <row r="82" spans="1:66" ht="11.25" customHeight="1" x14ac:dyDescent="0.15">
      <c r="A82" t="s">
        <v>1887</v>
      </c>
      <c r="AZ82" t="s">
        <v>1494</v>
      </c>
      <c r="BH82" t="s">
        <v>1888</v>
      </c>
      <c r="BJ82" t="s">
        <v>1889</v>
      </c>
      <c r="BL82" t="s">
        <v>1890</v>
      </c>
    </row>
    <row r="83" spans="1:66" ht="11.25" customHeight="1" x14ac:dyDescent="0.15">
      <c r="A83" t="s">
        <v>1891</v>
      </c>
      <c r="BH83" t="s">
        <v>1892</v>
      </c>
      <c r="BJ83" t="s">
        <v>1893</v>
      </c>
      <c r="BL83" t="s">
        <v>1894</v>
      </c>
    </row>
    <row r="84" spans="1:66" ht="11.25" customHeight="1" x14ac:dyDescent="0.15">
      <c r="A84" t="s">
        <v>1895</v>
      </c>
      <c r="AZ84" t="s">
        <v>1896</v>
      </c>
    </row>
    <row r="85" spans="1:66" ht="11.25" customHeight="1" x14ac:dyDescent="0.15">
      <c r="A85" t="s">
        <v>1897</v>
      </c>
      <c r="AZ85" t="s">
        <v>1898</v>
      </c>
    </row>
    <row r="86" spans="1:66" ht="11.25" customHeight="1" x14ac:dyDescent="0.15">
      <c r="A86" t="s">
        <v>1899</v>
      </c>
      <c r="AZ86" t="s">
        <v>1900</v>
      </c>
      <c r="BH86" t="s">
        <v>1901</v>
      </c>
      <c r="BJ86" t="s">
        <v>1902</v>
      </c>
      <c r="BL86" t="s">
        <v>1903</v>
      </c>
    </row>
    <row r="87" spans="1:66" ht="11.25" customHeight="1" x14ac:dyDescent="0.15">
      <c r="A87" t="s">
        <v>1904</v>
      </c>
      <c r="AZ87" t="s">
        <v>1905</v>
      </c>
      <c r="BH87" t="s">
        <v>1906</v>
      </c>
      <c r="BJ87" t="s">
        <v>1907</v>
      </c>
      <c r="BL87" t="s">
        <v>1908</v>
      </c>
    </row>
    <row r="88" spans="1:66" ht="11.25" customHeight="1" x14ac:dyDescent="0.15">
      <c r="A88" t="s">
        <v>1909</v>
      </c>
      <c r="BH88" t="s">
        <v>1910</v>
      </c>
      <c r="BJ88" t="s">
        <v>1911</v>
      </c>
      <c r="BL88" t="s">
        <v>1912</v>
      </c>
    </row>
    <row r="89" spans="1:66" ht="11.25" customHeight="1" x14ac:dyDescent="0.15">
      <c r="A89" t="s">
        <v>1913</v>
      </c>
      <c r="AZ89" t="s">
        <v>1914</v>
      </c>
    </row>
    <row r="90" spans="1:66" ht="11.25" customHeight="1" x14ac:dyDescent="0.15">
      <c r="A90" t="s">
        <v>1915</v>
      </c>
      <c r="AZ90" t="s">
        <v>1135</v>
      </c>
    </row>
    <row r="91" spans="1:66" ht="11.25" customHeight="1" x14ac:dyDescent="0.15">
      <c r="A91" t="s">
        <v>1916</v>
      </c>
      <c r="AZ91" t="s">
        <v>1171</v>
      </c>
      <c r="BH91" t="s">
        <v>1917</v>
      </c>
      <c r="BJ91" t="s">
        <v>1918</v>
      </c>
      <c r="BL91" t="s">
        <v>1919</v>
      </c>
    </row>
    <row r="92" spans="1:66" ht="11.25" customHeight="1" x14ac:dyDescent="0.15">
      <c r="AZ92" t="s">
        <v>1920</v>
      </c>
      <c r="BH92" t="s">
        <v>1921</v>
      </c>
      <c r="BJ92" t="s">
        <v>1922</v>
      </c>
      <c r="BL92" t="s">
        <v>1923</v>
      </c>
    </row>
    <row r="93" spans="1:66" ht="11.25" customHeight="1" x14ac:dyDescent="0.15">
      <c r="AZ93" t="s">
        <v>1924</v>
      </c>
      <c r="BH93" t="s">
        <v>1925</v>
      </c>
      <c r="BJ93" t="s">
        <v>1926</v>
      </c>
      <c r="BL93" t="s">
        <v>1927</v>
      </c>
    </row>
    <row r="94" spans="1:66" ht="11.25" customHeight="1" x14ac:dyDescent="0.15">
      <c r="AZ94" t="s">
        <v>1928</v>
      </c>
    </row>
    <row r="96" spans="1:66" ht="11.25" customHeight="1" x14ac:dyDescent="0.15">
      <c r="AZ96" t="s">
        <v>1929</v>
      </c>
      <c r="BH96" t="s">
        <v>1930</v>
      </c>
      <c r="BJ96" t="s">
        <v>1931</v>
      </c>
      <c r="BL96" t="s">
        <v>1932</v>
      </c>
      <c r="BN96" t="s">
        <v>1933</v>
      </c>
    </row>
    <row r="97" spans="52:66" ht="11.25" customHeight="1" x14ac:dyDescent="0.15">
      <c r="AZ97" t="s">
        <v>1934</v>
      </c>
      <c r="BA97" t="s">
        <v>1935</v>
      </c>
      <c r="BH97" t="s">
        <v>1936</v>
      </c>
      <c r="BJ97" t="s">
        <v>1937</v>
      </c>
      <c r="BL97" t="s">
        <v>1938</v>
      </c>
      <c r="BN97" t="s">
        <v>1939</v>
      </c>
    </row>
    <row r="98" spans="52:66" ht="11.25" customHeight="1" x14ac:dyDescent="0.15">
      <c r="AZ98" t="s">
        <v>1940</v>
      </c>
      <c r="BA98" t="s">
        <v>1941</v>
      </c>
      <c r="BH98" t="s">
        <v>1942</v>
      </c>
      <c r="BJ98" t="s">
        <v>1943</v>
      </c>
      <c r="BL98" t="s">
        <v>1944</v>
      </c>
      <c r="BN98" t="s">
        <v>1945</v>
      </c>
    </row>
    <row r="99" spans="52:66" ht="22.5" customHeight="1" x14ac:dyDescent="0.15">
      <c r="AZ99" t="s">
        <v>1946</v>
      </c>
      <c r="BA99" t="str">
        <f>"не позднее чем за "&amp;IF(TEMPLATE_SPHERE="TKO","3","10")&amp;" дней до дня проведения заседания правления"</f>
        <v>не позднее чем за 10 дней до дня проведения заседания правления</v>
      </c>
      <c r="BH99" t="s">
        <v>1947</v>
      </c>
      <c r="BJ99" t="s">
        <v>1948</v>
      </c>
      <c r="BL99" t="s">
        <v>1949</v>
      </c>
      <c r="BN99" t="s">
        <v>1950</v>
      </c>
    </row>
    <row r="100" spans="52:66" ht="22.5" customHeight="1" x14ac:dyDescent="0.15">
      <c r="AZ100" t="s">
        <v>1951</v>
      </c>
      <c r="BA10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t="s">
        <v>1540</v>
      </c>
      <c r="BL100" t="s">
        <v>1540</v>
      </c>
      <c r="BN100" t="s">
        <v>1952</v>
      </c>
    </row>
    <row r="101" spans="52:66" ht="22.5" customHeight="1" x14ac:dyDescent="0.15">
      <c r="AZ101" t="s">
        <v>1953</v>
      </c>
      <c r="BA101" t="s">
        <v>1954</v>
      </c>
      <c r="BN101" t="s">
        <v>1955</v>
      </c>
    </row>
    <row r="102" spans="52:66" ht="22.5" customHeight="1" x14ac:dyDescent="0.15">
      <c r="AZ102" t="s">
        <v>1956</v>
      </c>
      <c r="BA1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t="s">
        <v>1957</v>
      </c>
    </row>
    <row r="103" spans="52:66" ht="11.25" customHeight="1" x14ac:dyDescent="0.15">
      <c r="AZ103" t="s">
        <v>1958</v>
      </c>
      <c r="BA103" t="s">
        <v>1959</v>
      </c>
      <c r="BN103" t="s">
        <v>1960</v>
      </c>
    </row>
    <row r="104" spans="52:66" ht="11.25" customHeight="1" x14ac:dyDescent="0.15">
      <c r="BN104" t="s">
        <v>1961</v>
      </c>
    </row>
    <row r="105" spans="52:66" ht="11.25" customHeight="1" x14ac:dyDescent="0.15">
      <c r="AZ105" t="s">
        <v>1962</v>
      </c>
    </row>
    <row r="106" spans="52:66" ht="11.25" customHeight="1" x14ac:dyDescent="0.15">
      <c r="AZ106" t="s">
        <v>1963</v>
      </c>
    </row>
    <row r="107" spans="52:66" ht="11.25" customHeight="1" x14ac:dyDescent="0.15">
      <c r="AZ107" t="s">
        <v>1964</v>
      </c>
      <c r="BH107" t="s">
        <v>1965</v>
      </c>
      <c r="BJ107" t="s">
        <v>1966</v>
      </c>
      <c r="BL107" t="s">
        <v>1967</v>
      </c>
      <c r="BN107" t="s">
        <v>1968</v>
      </c>
    </row>
    <row r="108" spans="52:66" ht="11.25" customHeight="1" x14ac:dyDescent="0.15">
      <c r="AZ108" t="s">
        <v>688</v>
      </c>
      <c r="BH108" t="s">
        <v>1969</v>
      </c>
      <c r="BJ108" t="s">
        <v>1970</v>
      </c>
      <c r="BL108" t="s">
        <v>1625</v>
      </c>
      <c r="BN108" t="s">
        <v>1971</v>
      </c>
    </row>
    <row r="109" spans="52:66" ht="11.25" customHeight="1" x14ac:dyDescent="0.15">
      <c r="BH109" t="s">
        <v>1972</v>
      </c>
    </row>
    <row r="110" spans="52:66" ht="11.25" customHeight="1" x14ac:dyDescent="0.15">
      <c r="AZ110" t="s">
        <v>1973</v>
      </c>
      <c r="BH110" t="s">
        <v>1972</v>
      </c>
    </row>
    <row r="111" spans="52:66" ht="11.25" customHeight="1" x14ac:dyDescent="0.15">
      <c r="AZ111" t="s">
        <v>1934</v>
      </c>
      <c r="BA111" t="s">
        <v>1935</v>
      </c>
    </row>
    <row r="112" spans="52:66" ht="11.25" customHeight="1" x14ac:dyDescent="0.15">
      <c r="AZ112" t="s">
        <v>1940</v>
      </c>
      <c r="BA112" t="s">
        <v>1941</v>
      </c>
    </row>
    <row r="113" spans="52:60" ht="22.5" customHeight="1" x14ac:dyDescent="0.15">
      <c r="AZ113" t="s">
        <v>1946</v>
      </c>
      <c r="BA11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x14ac:dyDescent="0.15">
      <c r="AZ114" t="s">
        <v>1951</v>
      </c>
      <c r="BA1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t="s">
        <v>1974</v>
      </c>
    </row>
    <row r="115" spans="52:60" ht="22.5" customHeight="1" x14ac:dyDescent="0.15">
      <c r="AZ115" t="s">
        <v>1956</v>
      </c>
      <c r="BA1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t="s">
        <v>1338</v>
      </c>
    </row>
    <row r="116" spans="52:60" ht="11.25" customHeight="1" x14ac:dyDescent="0.15">
      <c r="AZ116" t="s">
        <v>1958</v>
      </c>
      <c r="BA116" t="s">
        <v>1959</v>
      </c>
      <c r="BH116" t="s">
        <v>1365</v>
      </c>
    </row>
    <row r="117" spans="52:60" ht="11.25" customHeight="1" x14ac:dyDescent="0.15">
      <c r="BH117" t="s">
        <v>1400</v>
      </c>
    </row>
    <row r="118" spans="52:60" ht="11.25" customHeight="1" x14ac:dyDescent="0.15">
      <c r="BH118" t="s">
        <v>1433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x14ac:dyDescent="0.15"/>
  <cols>
    <col min="1" max="2" width="15" hidden="1" customWidth="1"/>
    <col min="3" max="3" width="3" customWidth="1"/>
    <col min="4" max="4" width="6" customWidth="1"/>
    <col min="5" max="5" width="52" customWidth="1"/>
    <col min="6" max="6" width="48" customWidth="1"/>
    <col min="7" max="7" width="93" customWidth="1"/>
    <col min="8" max="8" width="8" customWidth="1"/>
    <col min="9" max="9" width="64" customWidth="1"/>
    <col min="10" max="10" width="9.140625" hidden="1"/>
  </cols>
  <sheetData>
    <row r="1" spans="1:10" ht="11.25" hidden="1" customHeight="1" x14ac:dyDescent="0.15">
      <c r="A1" t="s">
        <v>417</v>
      </c>
      <c r="J1" t="s">
        <v>14</v>
      </c>
    </row>
    <row r="2" spans="1:10" ht="22.5" hidden="1" customHeight="1" x14ac:dyDescent="0.15">
      <c r="C2" t="s">
        <v>106</v>
      </c>
      <c r="J2">
        <v>0</v>
      </c>
    </row>
    <row r="3" spans="1:10" ht="11.25" hidden="1" customHeight="1" x14ac:dyDescent="0.15">
      <c r="J3">
        <v>0</v>
      </c>
    </row>
    <row r="4" spans="1:10" ht="11.45" customHeight="1" x14ac:dyDescent="0.15">
      <c r="J4">
        <v>11</v>
      </c>
    </row>
    <row r="5" spans="1:10" ht="27.4" customHeight="1" x14ac:dyDescent="0.15">
      <c r="D5" s="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
      <c r="F5" s="1"/>
      <c r="J5">
        <v>26</v>
      </c>
    </row>
    <row r="6" spans="1:10" ht="18" customHeight="1" x14ac:dyDescent="0.15">
      <c r="D6" s="1" t="str">
        <f>IF(region_name=0,"Не определено",region_name)</f>
        <v>Приморский край</v>
      </c>
      <c r="E6" s="1"/>
      <c r="F6" s="1"/>
      <c r="J6">
        <v>17</v>
      </c>
    </row>
    <row r="7" spans="1:10" ht="11.45" customHeight="1" x14ac:dyDescent="0.15">
      <c r="J7">
        <v>11</v>
      </c>
    </row>
    <row r="8" spans="1:10" ht="11.25" hidden="1" customHeight="1" x14ac:dyDescent="0.15">
      <c r="E8" s="1"/>
      <c r="F8" s="1"/>
      <c r="J8">
        <v>0</v>
      </c>
    </row>
    <row r="9" spans="1:10" ht="11.45" customHeight="1" x14ac:dyDescent="0.15">
      <c r="D9" s="1" t="s">
        <v>418</v>
      </c>
      <c r="E9" s="1"/>
      <c r="F9" s="1"/>
      <c r="G9" s="1" t="s">
        <v>419</v>
      </c>
      <c r="J9">
        <v>11</v>
      </c>
    </row>
    <row r="10" spans="1:10" ht="11.45" customHeight="1" x14ac:dyDescent="0.15">
      <c r="D10" t="s">
        <v>90</v>
      </c>
      <c r="E10" t="s">
        <v>420</v>
      </c>
      <c r="F10" t="s">
        <v>421</v>
      </c>
      <c r="G10" s="1"/>
      <c r="J10">
        <v>11</v>
      </c>
    </row>
    <row r="11" spans="1:10" ht="1.1499999999999999" customHeight="1" x14ac:dyDescent="0.15">
      <c r="J11">
        <v>1</v>
      </c>
    </row>
    <row r="12" spans="1:10" ht="24" customHeight="1" x14ac:dyDescent="0.15">
      <c r="D12">
        <v>1</v>
      </c>
      <c r="E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t="str">
        <f>IF(org="","",org)</f>
        <v>КГУП "Примтеплоэнерго"</v>
      </c>
      <c r="G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J12">
        <v>23</v>
      </c>
    </row>
    <row r="13" spans="1:10" ht="19.899999999999999" customHeight="1" x14ac:dyDescent="0.15">
      <c r="D13">
        <v>2</v>
      </c>
      <c r="E13" t="s">
        <v>1975</v>
      </c>
      <c r="F13" t="s">
        <v>424</v>
      </c>
      <c r="J13">
        <v>19</v>
      </c>
    </row>
    <row r="14" spans="1:10" ht="19.899999999999999" customHeight="1" x14ac:dyDescent="0.15">
      <c r="D14" t="s">
        <v>825</v>
      </c>
      <c r="E14" t="s">
        <v>1976</v>
      </c>
      <c r="G14" t="s">
        <v>1977</v>
      </c>
      <c r="J14">
        <v>19</v>
      </c>
    </row>
    <row r="15" spans="1:10" ht="19.899999999999999" customHeight="1" x14ac:dyDescent="0.15">
      <c r="D15" t="s">
        <v>425</v>
      </c>
      <c r="E15" t="s">
        <v>1978</v>
      </c>
      <c r="G15" t="s">
        <v>1979</v>
      </c>
      <c r="J15">
        <v>19</v>
      </c>
    </row>
    <row r="16" spans="1:10" ht="24" customHeight="1" x14ac:dyDescent="0.15">
      <c r="D16" t="s">
        <v>428</v>
      </c>
      <c r="E16" t="s">
        <v>1980</v>
      </c>
      <c r="G16" t="s">
        <v>1981</v>
      </c>
      <c r="J16">
        <v>23</v>
      </c>
    </row>
    <row r="17" spans="1:10" ht="48.2" customHeight="1" x14ac:dyDescent="0.15">
      <c r="D17">
        <v>3</v>
      </c>
      <c r="E17" t="s">
        <v>1982</v>
      </c>
      <c r="G17" t="s">
        <v>1983</v>
      </c>
      <c r="J17">
        <v>46</v>
      </c>
    </row>
    <row r="18" spans="1:10" ht="48.2" customHeight="1" x14ac:dyDescent="0.15">
      <c r="A18">
        <v>1</v>
      </c>
      <c r="D18" t="s">
        <v>93</v>
      </c>
      <c r="E18" t="s">
        <v>1984</v>
      </c>
      <c r="G18" t="s">
        <v>1983</v>
      </c>
      <c r="J18">
        <v>46</v>
      </c>
    </row>
    <row r="19" spans="1:10" ht="23.25" customHeight="1" x14ac:dyDescent="0.15">
      <c r="D19" t="s">
        <v>120</v>
      </c>
      <c r="E19" t="s">
        <v>1985</v>
      </c>
      <c r="F19" t="s">
        <v>424</v>
      </c>
      <c r="G19" s="1" t="s">
        <v>1986</v>
      </c>
      <c r="J19">
        <v>22</v>
      </c>
    </row>
    <row r="20" spans="1:10" ht="5.25" hidden="1" customHeight="1" x14ac:dyDescent="0.15">
      <c r="D20" t="s">
        <v>1232</v>
      </c>
      <c r="G20" s="1"/>
      <c r="J20">
        <v>0</v>
      </c>
    </row>
    <row r="21" spans="1:10" ht="15.75" customHeight="1" x14ac:dyDescent="0.15">
      <c r="E21" t="s">
        <v>457</v>
      </c>
      <c r="G21" s="1"/>
      <c r="J21">
        <v>15</v>
      </c>
    </row>
    <row r="22" spans="1:10" ht="26.25" customHeight="1" x14ac:dyDescent="0.15">
      <c r="D22" t="s">
        <v>94</v>
      </c>
      <c r="E22" t="s">
        <v>1987</v>
      </c>
      <c r="G22" t="s">
        <v>1988</v>
      </c>
      <c r="J22">
        <v>25</v>
      </c>
    </row>
    <row r="23" spans="1:10" ht="19.899999999999999" customHeight="1" x14ac:dyDescent="0.15">
      <c r="D23" t="s">
        <v>95</v>
      </c>
      <c r="E23" t="s">
        <v>1989</v>
      </c>
      <c r="G23" t="s">
        <v>1990</v>
      </c>
      <c r="J23">
        <v>19</v>
      </c>
    </row>
    <row r="24" spans="1:10" ht="144" hidden="1" customHeight="1" x14ac:dyDescent="0.15">
      <c r="D24" t="s">
        <v>134</v>
      </c>
      <c r="E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G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J24">
        <v>0</v>
      </c>
    </row>
    <row r="25" spans="1:10" ht="11.25" hidden="1" customHeight="1" x14ac:dyDescent="0.15">
      <c r="A25" t="s">
        <v>84</v>
      </c>
      <c r="B25">
        <v>0</v>
      </c>
      <c r="C25">
        <v>3</v>
      </c>
      <c r="D25">
        <v>6</v>
      </c>
      <c r="E25">
        <v>52</v>
      </c>
      <c r="F25">
        <v>48</v>
      </c>
      <c r="G25">
        <v>93</v>
      </c>
      <c r="H25">
        <v>8</v>
      </c>
      <c r="I25">
        <v>64</v>
      </c>
      <c r="J25">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46" customWidth="1"/>
    <col min="7" max="8" width="16" customWidth="1"/>
    <col min="9" max="9" width="35" customWidth="1"/>
    <col min="10" max="10" width="89" customWidth="1"/>
    <col min="11" max="11" width="3" customWidth="1"/>
    <col min="12" max="14" width="8" customWidth="1"/>
    <col min="15" max="15" width="25" customWidth="1"/>
    <col min="16" max="16" width="14" customWidth="1"/>
    <col min="17" max="254" width="8" customWidth="1"/>
    <col min="255" max="255" width="9.140625" hidden="1"/>
  </cols>
  <sheetData>
    <row r="1" spans="2:255" ht="22.5" hidden="1" customHeight="1" x14ac:dyDescent="0.15">
      <c r="F1" t="s">
        <v>1991</v>
      </c>
      <c r="G1" t="s">
        <v>51</v>
      </c>
      <c r="H1" t="s">
        <v>53</v>
      </c>
      <c r="IU1" t="s">
        <v>14</v>
      </c>
    </row>
    <row r="2" spans="2:255" ht="22.5" hidden="1" customHeight="1" x14ac:dyDescent="0.15">
      <c r="B2">
        <v>1</v>
      </c>
      <c r="D2" t="s">
        <v>106</v>
      </c>
      <c r="N2" t="str">
        <f t="array" ref="N2">IF(ISERROR(MATCH(MID(O2,1,250),MID(note_ter,1,250),0)),"n","y")</f>
        <v>n</v>
      </c>
      <c r="P2" t="str">
        <f>G2&amp;"("&amp;J2&amp;")"</f>
        <v>()</v>
      </c>
      <c r="IU2">
        <v>0</v>
      </c>
    </row>
    <row r="3" spans="2:255" ht="4.1500000000000004" customHeight="1" x14ac:dyDescent="0.15">
      <c r="F3" t="s">
        <v>85</v>
      </c>
      <c r="G3" t="s">
        <v>86</v>
      </c>
      <c r="J3" t="s">
        <v>87</v>
      </c>
      <c r="K3" t="s">
        <v>85</v>
      </c>
      <c r="IU3">
        <v>4</v>
      </c>
    </row>
    <row r="4" spans="2:255" ht="14.65" customHeight="1" x14ac:dyDescent="0.15">
      <c r="IU4">
        <v>14</v>
      </c>
    </row>
    <row r="5" spans="2:255" ht="27.4" customHeight="1" x14ac:dyDescent="0.15">
      <c r="E5" s="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
      <c r="G5" s="1"/>
      <c r="H5" s="1"/>
      <c r="I5" s="1"/>
      <c r="J5" s="1"/>
      <c r="IU5">
        <v>26</v>
      </c>
    </row>
    <row r="6" spans="2:255" ht="14.65" customHeight="1" x14ac:dyDescent="0.15">
      <c r="IU6">
        <v>14</v>
      </c>
    </row>
    <row r="7" spans="2:255" ht="14.65" customHeight="1" x14ac:dyDescent="0.15">
      <c r="E7" s="1" t="s">
        <v>418</v>
      </c>
      <c r="F7" s="1"/>
      <c r="G7" s="1"/>
      <c r="H7" s="1"/>
      <c r="I7" s="1"/>
      <c r="J7" s="1" t="s">
        <v>419</v>
      </c>
      <c r="IU7">
        <v>14</v>
      </c>
    </row>
    <row r="8" spans="2:255" ht="21" customHeight="1" x14ac:dyDescent="0.15">
      <c r="E8" t="s">
        <v>90</v>
      </c>
      <c r="F8" t="s">
        <v>1991</v>
      </c>
      <c r="G8" t="s">
        <v>51</v>
      </c>
      <c r="H8" t="s">
        <v>53</v>
      </c>
      <c r="I8" t="s">
        <v>1992</v>
      </c>
      <c r="J8" s="1"/>
      <c r="IU8">
        <v>20</v>
      </c>
    </row>
    <row r="9" spans="2:255" ht="23.25" customHeight="1" x14ac:dyDescent="0.15">
      <c r="B9">
        <v>1</v>
      </c>
      <c r="E9">
        <v>1</v>
      </c>
      <c r="J9" s="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t="str">
        <f t="array" ref="N9">IF(ISERROR(MATCH(MID(O9,1,250),MID(note_ter,1,250),0)),"n","y")</f>
        <v>n</v>
      </c>
      <c r="P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v>22</v>
      </c>
    </row>
    <row r="10" spans="2:255" ht="15.75" customHeight="1" x14ac:dyDescent="0.15">
      <c r="F10" t="s">
        <v>1993</v>
      </c>
      <c r="J10" s="1"/>
      <c r="IU10">
        <v>15</v>
      </c>
    </row>
    <row r="11" spans="2:255" ht="21.95" customHeight="1" x14ac:dyDescent="0.15">
      <c r="IU11">
        <v>21</v>
      </c>
    </row>
    <row r="12" spans="2:255" ht="14.65" customHeight="1" x14ac:dyDescent="0.15">
      <c r="IU12">
        <v>14</v>
      </c>
    </row>
    <row r="13" spans="2:255" ht="1.1499999999999999" customHeight="1" x14ac:dyDescent="0.15">
      <c r="IU13">
        <v>1</v>
      </c>
    </row>
    <row r="14" spans="2:255" ht="10.5" customHeight="1" x14ac:dyDescent="0.15">
      <c r="IU14">
        <v>10</v>
      </c>
    </row>
    <row r="15" spans="2:255" ht="10.5" customHeight="1" x14ac:dyDescent="0.15">
      <c r="IU15">
        <v>10</v>
      </c>
    </row>
    <row r="16" spans="2:255" ht="14.65" customHeight="1" x14ac:dyDescent="0.15">
      <c r="IU16">
        <v>14</v>
      </c>
    </row>
    <row r="17" spans="1:255" ht="14.65" customHeight="1" x14ac:dyDescent="0.15">
      <c r="IU17">
        <v>14</v>
      </c>
    </row>
    <row r="18" spans="1:255" ht="14.65" customHeight="1" x14ac:dyDescent="0.15">
      <c r="IU18">
        <v>14</v>
      </c>
    </row>
    <row r="19" spans="1:255" ht="14.65" customHeight="1" x14ac:dyDescent="0.15">
      <c r="IU19">
        <v>14</v>
      </c>
    </row>
    <row r="20" spans="1:255" ht="14.65" customHeight="1" x14ac:dyDescent="0.15">
      <c r="IU20">
        <v>14</v>
      </c>
    </row>
    <row r="21" spans="1:255" ht="14.65" customHeight="1" x14ac:dyDescent="0.15">
      <c r="IU21">
        <v>14</v>
      </c>
    </row>
    <row r="22" spans="1:255" ht="14.65" customHeight="1" x14ac:dyDescent="0.15">
      <c r="IU22">
        <v>14</v>
      </c>
    </row>
    <row r="23" spans="1:255" ht="14.65" customHeight="1" x14ac:dyDescent="0.15">
      <c r="IU23">
        <v>14</v>
      </c>
    </row>
    <row r="24" spans="1:255" ht="22.5" hidden="1" customHeight="1" x14ac:dyDescent="0.15">
      <c r="A24" t="s">
        <v>84</v>
      </c>
      <c r="B24">
        <v>0</v>
      </c>
      <c r="C24">
        <v>0</v>
      </c>
      <c r="D24">
        <v>3</v>
      </c>
      <c r="E24">
        <v>6</v>
      </c>
      <c r="F24">
        <v>46</v>
      </c>
      <c r="G24">
        <v>16</v>
      </c>
      <c r="H24">
        <v>16</v>
      </c>
      <c r="I24">
        <v>35</v>
      </c>
      <c r="J24">
        <v>89</v>
      </c>
      <c r="K24">
        <v>3</v>
      </c>
      <c r="L24">
        <v>8</v>
      </c>
      <c r="M24">
        <v>8</v>
      </c>
      <c r="N24">
        <v>8</v>
      </c>
      <c r="O24">
        <v>25</v>
      </c>
      <c r="P24">
        <v>14</v>
      </c>
      <c r="Q24">
        <v>8</v>
      </c>
      <c r="R24">
        <v>8</v>
      </c>
      <c r="S24">
        <v>8</v>
      </c>
      <c r="T24">
        <v>8</v>
      </c>
      <c r="U24">
        <v>8</v>
      </c>
      <c r="V24">
        <v>8</v>
      </c>
      <c r="W24">
        <v>8</v>
      </c>
      <c r="X24">
        <v>8</v>
      </c>
      <c r="Y24">
        <v>8</v>
      </c>
      <c r="Z24">
        <v>8</v>
      </c>
      <c r="AA24">
        <v>8</v>
      </c>
      <c r="AB24">
        <v>8</v>
      </c>
      <c r="AC24">
        <v>8</v>
      </c>
      <c r="AD24">
        <v>8</v>
      </c>
      <c r="AE24">
        <v>8</v>
      </c>
      <c r="AF24">
        <v>8</v>
      </c>
      <c r="AG24">
        <v>8</v>
      </c>
      <c r="AH24">
        <v>8</v>
      </c>
      <c r="AI24">
        <v>8</v>
      </c>
      <c r="AJ24">
        <v>8</v>
      </c>
      <c r="AK24">
        <v>8</v>
      </c>
      <c r="AL24">
        <v>8</v>
      </c>
      <c r="AM24">
        <v>8</v>
      </c>
      <c r="AN24">
        <v>8</v>
      </c>
      <c r="AO24">
        <v>8</v>
      </c>
      <c r="AP24">
        <v>8</v>
      </c>
      <c r="AQ24">
        <v>8</v>
      </c>
      <c r="AR24">
        <v>8</v>
      </c>
      <c r="AS24">
        <v>8</v>
      </c>
      <c r="AT24">
        <v>8</v>
      </c>
      <c r="AU24">
        <v>8</v>
      </c>
      <c r="AV24">
        <v>8</v>
      </c>
      <c r="AW24">
        <v>8</v>
      </c>
      <c r="AX24">
        <v>8</v>
      </c>
      <c r="AY24">
        <v>8</v>
      </c>
      <c r="AZ24">
        <v>8</v>
      </c>
      <c r="BA24">
        <v>8</v>
      </c>
      <c r="BB24">
        <v>8</v>
      </c>
      <c r="BC24">
        <v>8</v>
      </c>
      <c r="BD24">
        <v>8</v>
      </c>
      <c r="BE24">
        <v>8</v>
      </c>
      <c r="BF24">
        <v>8</v>
      </c>
      <c r="BG24">
        <v>8</v>
      </c>
      <c r="BH24">
        <v>8</v>
      </c>
      <c r="BI24">
        <v>8</v>
      </c>
      <c r="BJ24">
        <v>8</v>
      </c>
      <c r="BK24">
        <v>8</v>
      </c>
      <c r="BL24">
        <v>8</v>
      </c>
      <c r="BM24">
        <v>8</v>
      </c>
      <c r="BN24">
        <v>8</v>
      </c>
      <c r="BO24">
        <v>8</v>
      </c>
      <c r="BP24">
        <v>8</v>
      </c>
      <c r="BQ24">
        <v>8</v>
      </c>
      <c r="BR24">
        <v>8</v>
      </c>
      <c r="BS24">
        <v>8</v>
      </c>
      <c r="BT24">
        <v>8</v>
      </c>
      <c r="BU24">
        <v>8</v>
      </c>
      <c r="BV24">
        <v>8</v>
      </c>
      <c r="BW24">
        <v>8</v>
      </c>
      <c r="BX24">
        <v>8</v>
      </c>
      <c r="BY24">
        <v>8</v>
      </c>
      <c r="BZ24">
        <v>8</v>
      </c>
      <c r="CA24">
        <v>8</v>
      </c>
      <c r="CB24">
        <v>8</v>
      </c>
      <c r="CC24">
        <v>8</v>
      </c>
      <c r="CD24">
        <v>8</v>
      </c>
      <c r="CE24">
        <v>8</v>
      </c>
      <c r="CF24">
        <v>8</v>
      </c>
      <c r="CG24">
        <v>8</v>
      </c>
      <c r="CH24">
        <v>8</v>
      </c>
      <c r="CI24">
        <v>8</v>
      </c>
      <c r="CJ24">
        <v>8</v>
      </c>
      <c r="CK24">
        <v>8</v>
      </c>
      <c r="CL24">
        <v>8</v>
      </c>
      <c r="CM24">
        <v>8</v>
      </c>
      <c r="CN24">
        <v>8</v>
      </c>
      <c r="CO24">
        <v>8</v>
      </c>
      <c r="CP24">
        <v>8</v>
      </c>
      <c r="CQ24">
        <v>8</v>
      </c>
      <c r="CR24">
        <v>8</v>
      </c>
      <c r="CS24">
        <v>8</v>
      </c>
      <c r="CT24">
        <v>8</v>
      </c>
      <c r="CU24">
        <v>8</v>
      </c>
      <c r="CV24">
        <v>8</v>
      </c>
      <c r="CW24">
        <v>8</v>
      </c>
      <c r="CX24">
        <v>8</v>
      </c>
      <c r="CY24">
        <v>8</v>
      </c>
      <c r="CZ24">
        <v>8</v>
      </c>
      <c r="DA24">
        <v>8</v>
      </c>
      <c r="DB24">
        <v>8</v>
      </c>
      <c r="DC24">
        <v>8</v>
      </c>
      <c r="DD24">
        <v>8</v>
      </c>
      <c r="DE24">
        <v>8</v>
      </c>
      <c r="DF24">
        <v>8</v>
      </c>
      <c r="DG24">
        <v>8</v>
      </c>
      <c r="DH24">
        <v>8</v>
      </c>
      <c r="DI24">
        <v>8</v>
      </c>
      <c r="DJ24">
        <v>8</v>
      </c>
      <c r="DK24">
        <v>8</v>
      </c>
      <c r="DL24">
        <v>8</v>
      </c>
      <c r="DM24">
        <v>8</v>
      </c>
      <c r="DN24">
        <v>8</v>
      </c>
      <c r="DO24">
        <v>8</v>
      </c>
      <c r="DP24">
        <v>8</v>
      </c>
      <c r="DQ24">
        <v>8</v>
      </c>
      <c r="DR24">
        <v>8</v>
      </c>
      <c r="DS24">
        <v>8</v>
      </c>
      <c r="DT24">
        <v>8</v>
      </c>
      <c r="DU24">
        <v>8</v>
      </c>
      <c r="DV24">
        <v>8</v>
      </c>
      <c r="DW24">
        <v>8</v>
      </c>
      <c r="DX24">
        <v>8</v>
      </c>
      <c r="DY24">
        <v>8</v>
      </c>
      <c r="DZ24">
        <v>8</v>
      </c>
      <c r="EA24">
        <v>8</v>
      </c>
      <c r="EB24">
        <v>8</v>
      </c>
      <c r="EC24">
        <v>8</v>
      </c>
      <c r="ED24">
        <v>8</v>
      </c>
      <c r="EE24">
        <v>8</v>
      </c>
      <c r="EF24">
        <v>8</v>
      </c>
      <c r="EG24">
        <v>8</v>
      </c>
      <c r="EH24">
        <v>8</v>
      </c>
      <c r="EI24">
        <v>8</v>
      </c>
      <c r="EJ24">
        <v>8</v>
      </c>
      <c r="EK24">
        <v>8</v>
      </c>
      <c r="EL24">
        <v>8</v>
      </c>
      <c r="EM24">
        <v>8</v>
      </c>
      <c r="EN24">
        <v>8</v>
      </c>
      <c r="EO24">
        <v>8</v>
      </c>
      <c r="EP24">
        <v>8</v>
      </c>
      <c r="EQ24">
        <v>8</v>
      </c>
      <c r="ER24">
        <v>8</v>
      </c>
      <c r="ES24">
        <v>8</v>
      </c>
      <c r="ET24">
        <v>8</v>
      </c>
      <c r="EU24">
        <v>8</v>
      </c>
      <c r="EV24">
        <v>8</v>
      </c>
      <c r="EW24">
        <v>8</v>
      </c>
      <c r="EX24">
        <v>8</v>
      </c>
      <c r="EY24">
        <v>8</v>
      </c>
      <c r="EZ24">
        <v>8</v>
      </c>
      <c r="FA24">
        <v>8</v>
      </c>
      <c r="FB24">
        <v>8</v>
      </c>
      <c r="FC24">
        <v>8</v>
      </c>
      <c r="FD24">
        <v>8</v>
      </c>
      <c r="FE24">
        <v>8</v>
      </c>
      <c r="FF24">
        <v>8</v>
      </c>
      <c r="FG24">
        <v>8</v>
      </c>
      <c r="FH24">
        <v>8</v>
      </c>
      <c r="FI24">
        <v>8</v>
      </c>
      <c r="FJ24">
        <v>8</v>
      </c>
      <c r="FK24">
        <v>8</v>
      </c>
      <c r="FL24">
        <v>8</v>
      </c>
      <c r="FM24">
        <v>8</v>
      </c>
      <c r="FN24">
        <v>8</v>
      </c>
      <c r="FO24">
        <v>8</v>
      </c>
      <c r="FP24">
        <v>8</v>
      </c>
      <c r="FQ24">
        <v>8</v>
      </c>
      <c r="FR24">
        <v>8</v>
      </c>
      <c r="FS24">
        <v>8</v>
      </c>
      <c r="FT24">
        <v>8</v>
      </c>
      <c r="FU24">
        <v>8</v>
      </c>
      <c r="FV24">
        <v>8</v>
      </c>
      <c r="FW24">
        <v>8</v>
      </c>
      <c r="FX24">
        <v>8</v>
      </c>
      <c r="FY24">
        <v>8</v>
      </c>
      <c r="FZ24">
        <v>8</v>
      </c>
      <c r="GA24">
        <v>8</v>
      </c>
      <c r="GB24">
        <v>8</v>
      </c>
      <c r="GC24">
        <v>8</v>
      </c>
      <c r="GD24">
        <v>8</v>
      </c>
      <c r="GE24">
        <v>8</v>
      </c>
      <c r="GF24">
        <v>8</v>
      </c>
      <c r="GG24">
        <v>8</v>
      </c>
      <c r="GH24">
        <v>8</v>
      </c>
      <c r="GI24">
        <v>8</v>
      </c>
      <c r="GJ24">
        <v>8</v>
      </c>
      <c r="GK24">
        <v>8</v>
      </c>
      <c r="GL24">
        <v>8</v>
      </c>
      <c r="GM24">
        <v>8</v>
      </c>
      <c r="GN24">
        <v>8</v>
      </c>
      <c r="GO24">
        <v>8</v>
      </c>
      <c r="GP24">
        <v>8</v>
      </c>
      <c r="GQ24">
        <v>8</v>
      </c>
      <c r="GR24">
        <v>8</v>
      </c>
      <c r="GS24">
        <v>8</v>
      </c>
      <c r="GT24">
        <v>8</v>
      </c>
      <c r="GU24">
        <v>8</v>
      </c>
      <c r="GV24">
        <v>8</v>
      </c>
      <c r="GW24">
        <v>8</v>
      </c>
      <c r="GX24">
        <v>8</v>
      </c>
      <c r="GY24">
        <v>8</v>
      </c>
      <c r="GZ24">
        <v>8</v>
      </c>
      <c r="HA24">
        <v>8</v>
      </c>
      <c r="HB24">
        <v>8</v>
      </c>
      <c r="HC24">
        <v>8</v>
      </c>
      <c r="HD24">
        <v>8</v>
      </c>
      <c r="HE24">
        <v>8</v>
      </c>
      <c r="HF24">
        <v>8</v>
      </c>
      <c r="HG24">
        <v>8</v>
      </c>
      <c r="HH24">
        <v>8</v>
      </c>
      <c r="HI24">
        <v>8</v>
      </c>
      <c r="HJ24">
        <v>8</v>
      </c>
      <c r="HK24">
        <v>8</v>
      </c>
      <c r="HL24">
        <v>8</v>
      </c>
      <c r="HM24">
        <v>8</v>
      </c>
      <c r="HN24">
        <v>8</v>
      </c>
      <c r="HO24">
        <v>8</v>
      </c>
      <c r="HP24">
        <v>8</v>
      </c>
      <c r="HQ24">
        <v>8</v>
      </c>
      <c r="HR24">
        <v>8</v>
      </c>
      <c r="HS24">
        <v>8</v>
      </c>
      <c r="HT24">
        <v>8</v>
      </c>
      <c r="HU24">
        <v>8</v>
      </c>
      <c r="HV24">
        <v>8</v>
      </c>
      <c r="HW24">
        <v>8</v>
      </c>
      <c r="HX24">
        <v>8</v>
      </c>
      <c r="HY24">
        <v>8</v>
      </c>
      <c r="HZ24">
        <v>8</v>
      </c>
      <c r="IA24">
        <v>8</v>
      </c>
      <c r="IB24">
        <v>8</v>
      </c>
      <c r="IC24">
        <v>8</v>
      </c>
      <c r="ID24">
        <v>8</v>
      </c>
      <c r="IE24">
        <v>8</v>
      </c>
      <c r="IF24">
        <v>8</v>
      </c>
      <c r="IG24">
        <v>8</v>
      </c>
      <c r="IH24">
        <v>8</v>
      </c>
      <c r="II24">
        <v>8</v>
      </c>
      <c r="IJ24">
        <v>8</v>
      </c>
      <c r="IK24">
        <v>8</v>
      </c>
      <c r="IL24">
        <v>8</v>
      </c>
      <c r="IM24">
        <v>8</v>
      </c>
      <c r="IN24">
        <v>8</v>
      </c>
      <c r="IO24">
        <v>8</v>
      </c>
      <c r="IP24">
        <v>8</v>
      </c>
      <c r="IQ24">
        <v>8</v>
      </c>
      <c r="IR24">
        <v>8</v>
      </c>
      <c r="IS24">
        <v>8</v>
      </c>
      <c r="IT24">
        <v>8</v>
      </c>
      <c r="IU2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x14ac:dyDescent="0.15">
      <c r="IW1" t="s">
        <v>14</v>
      </c>
    </row>
    <row r="2" spans="1:257" ht="22.5" hidden="1" customHeight="1" x14ac:dyDescent="0.15">
      <c r="B2">
        <v>1</v>
      </c>
      <c r="D2" t="s">
        <v>106</v>
      </c>
      <c r="F2" t="str">
        <f>IF(ROIV_INFO_NAME="","",ROIV_INFO_NAME)</f>
        <v>КГУП "Примтеплоэнерго"</v>
      </c>
      <c r="G2" t="s">
        <v>28</v>
      </c>
      <c r="M2" t="e">
        <f ca="1">MERGEVALUE(F2)</f>
        <v>#NAME?</v>
      </c>
      <c r="P2" t="str">
        <f t="array" ref="P2">IF(ISERROR(MATCH(MID(Q2,1,250),MID(note_ter,1,250),0)),"n","y")</f>
        <v>n</v>
      </c>
      <c r="R2" t="str">
        <f>G2&amp;"("&amp;L2&amp;")"</f>
        <v>()</v>
      </c>
      <c r="IW2">
        <v>0</v>
      </c>
    </row>
    <row r="3" spans="1:257" ht="5.25" hidden="1" customHeight="1" x14ac:dyDescent="0.15">
      <c r="F3" t="s">
        <v>85</v>
      </c>
      <c r="G3" t="s">
        <v>86</v>
      </c>
      <c r="L3" t="s">
        <v>87</v>
      </c>
      <c r="M3" t="s">
        <v>85</v>
      </c>
      <c r="IW3">
        <v>0</v>
      </c>
    </row>
    <row r="4" spans="1:257" ht="14.65" customHeight="1" x14ac:dyDescent="0.15">
      <c r="IW4">
        <v>14</v>
      </c>
    </row>
    <row r="5" spans="1:257" ht="27.4" customHeight="1" x14ac:dyDescent="0.15">
      <c r="E5" s="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
      <c r="G5" s="1"/>
      <c r="H5" s="1"/>
      <c r="I5" s="1"/>
      <c r="J5" s="1"/>
      <c r="K5" s="1"/>
      <c r="IW5">
        <v>26</v>
      </c>
    </row>
    <row r="6" spans="1:257" ht="14.65" customHeight="1" x14ac:dyDescent="0.15">
      <c r="IW6">
        <v>14</v>
      </c>
    </row>
    <row r="7" spans="1:257" ht="14.65" customHeight="1" x14ac:dyDescent="0.15">
      <c r="E7" s="1" t="s">
        <v>418</v>
      </c>
      <c r="F7" s="1"/>
      <c r="G7" s="1"/>
      <c r="H7" s="1"/>
      <c r="I7" s="1"/>
      <c r="J7" s="1"/>
      <c r="K7" s="1"/>
      <c r="L7" s="1" t="s">
        <v>419</v>
      </c>
      <c r="IW7">
        <v>14</v>
      </c>
    </row>
    <row r="8" spans="1:257" ht="67.150000000000006" customHeight="1" x14ac:dyDescent="0.15">
      <c r="E8" s="1" t="s">
        <v>90</v>
      </c>
      <c r="F8" s="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
      <c r="I8" s="1"/>
      <c r="J8" s="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
      <c r="IW8">
        <v>64</v>
      </c>
    </row>
    <row r="9" spans="1:257" ht="29.25" customHeight="1" x14ac:dyDescent="0.15">
      <c r="E9" s="1"/>
      <c r="F9" s="1"/>
      <c r="G9" t="s">
        <v>1994</v>
      </c>
      <c r="H9" t="s">
        <v>1995</v>
      </c>
      <c r="I9" t="s">
        <v>1996</v>
      </c>
      <c r="J9" s="1"/>
      <c r="K9" s="1"/>
      <c r="L9" s="1"/>
      <c r="IW9">
        <v>28</v>
      </c>
    </row>
    <row r="10" spans="1:257" ht="23.25" customHeight="1" x14ac:dyDescent="0.15">
      <c r="A10" s="1"/>
      <c r="B10">
        <v>1</v>
      </c>
      <c r="E10">
        <v>1</v>
      </c>
      <c r="F10" t="str">
        <f>IF(ROIV_INFO_NAME="","",ROIV_INFO_NAME)</f>
        <v>КГУП "Примтеплоэнерго"</v>
      </c>
      <c r="G10" t="s">
        <v>28</v>
      </c>
      <c r="L10" s="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t="e">
        <f ca="1">MERGEVALUE(F10)</f>
        <v>#NAME?</v>
      </c>
      <c r="P10" t="str">
        <f t="array" ref="P10">IF(ISERROR(MATCH(MID(Q10,1,250),MID(note_ter,1,250),0)),"n","y")</f>
        <v>n</v>
      </c>
      <c r="R1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v>22</v>
      </c>
    </row>
    <row r="11" spans="1:257" ht="15.75" customHeight="1" x14ac:dyDescent="0.15">
      <c r="A11" s="1"/>
      <c r="F11" t="s">
        <v>1997</v>
      </c>
      <c r="L11" s="1"/>
      <c r="IW11">
        <v>15</v>
      </c>
    </row>
    <row r="12" spans="1:257" ht="21.95" customHeight="1" x14ac:dyDescent="0.15">
      <c r="IW12">
        <v>21</v>
      </c>
    </row>
    <row r="13" spans="1:257" ht="14.65" customHeight="1" x14ac:dyDescent="0.15">
      <c r="IW13">
        <v>14</v>
      </c>
    </row>
    <row r="14" spans="1:257" ht="1.1499999999999999" customHeight="1" x14ac:dyDescent="0.15">
      <c r="IW14">
        <v>1</v>
      </c>
    </row>
    <row r="15" spans="1:257" ht="22.5" hidden="1" customHeight="1" x14ac:dyDescent="0.15">
      <c r="A15" t="s">
        <v>84</v>
      </c>
      <c r="B15">
        <v>0</v>
      </c>
      <c r="C15">
        <v>0</v>
      </c>
      <c r="D15">
        <v>3</v>
      </c>
      <c r="E15">
        <v>6</v>
      </c>
      <c r="F15">
        <v>27</v>
      </c>
      <c r="G15">
        <v>16</v>
      </c>
      <c r="H15">
        <v>12</v>
      </c>
      <c r="I15">
        <v>32</v>
      </c>
      <c r="J15">
        <v>41</v>
      </c>
      <c r="K15">
        <v>41</v>
      </c>
      <c r="L15">
        <v>89</v>
      </c>
      <c r="M15">
        <v>3</v>
      </c>
      <c r="N15">
        <v>8</v>
      </c>
      <c r="O15">
        <v>8</v>
      </c>
      <c r="P15">
        <v>8</v>
      </c>
      <c r="Q15">
        <v>25</v>
      </c>
      <c r="R15">
        <v>14</v>
      </c>
      <c r="S15">
        <v>8</v>
      </c>
      <c r="T15">
        <v>8</v>
      </c>
      <c r="U15">
        <v>8</v>
      </c>
      <c r="V15">
        <v>8</v>
      </c>
      <c r="W15">
        <v>8</v>
      </c>
      <c r="X15">
        <v>8</v>
      </c>
      <c r="Y15">
        <v>8</v>
      </c>
      <c r="Z15">
        <v>8</v>
      </c>
      <c r="AA15">
        <v>8</v>
      </c>
      <c r="AB15">
        <v>8</v>
      </c>
      <c r="AC15">
        <v>8</v>
      </c>
      <c r="AD15">
        <v>8</v>
      </c>
      <c r="AE15">
        <v>8</v>
      </c>
      <c r="AF15">
        <v>8</v>
      </c>
      <c r="AG15">
        <v>8</v>
      </c>
      <c r="AH15">
        <v>8</v>
      </c>
      <c r="AI15">
        <v>8</v>
      </c>
      <c r="AJ15">
        <v>8</v>
      </c>
      <c r="AK15">
        <v>8</v>
      </c>
      <c r="AL15">
        <v>8</v>
      </c>
      <c r="AM15">
        <v>8</v>
      </c>
      <c r="AN15">
        <v>8</v>
      </c>
      <c r="AO15">
        <v>8</v>
      </c>
      <c r="AP15">
        <v>8</v>
      </c>
      <c r="AQ15">
        <v>8</v>
      </c>
      <c r="AR15">
        <v>8</v>
      </c>
      <c r="AS15">
        <v>8</v>
      </c>
      <c r="AT15">
        <v>8</v>
      </c>
      <c r="AU15">
        <v>8</v>
      </c>
      <c r="AV15">
        <v>8</v>
      </c>
      <c r="AW15">
        <v>8</v>
      </c>
      <c r="AX15">
        <v>8</v>
      </c>
      <c r="AY15">
        <v>8</v>
      </c>
      <c r="AZ15">
        <v>8</v>
      </c>
      <c r="BA15">
        <v>8</v>
      </c>
      <c r="BB15">
        <v>8</v>
      </c>
      <c r="BC15">
        <v>8</v>
      </c>
      <c r="BD15">
        <v>8</v>
      </c>
      <c r="BE15">
        <v>8</v>
      </c>
      <c r="BF15">
        <v>8</v>
      </c>
      <c r="BG15">
        <v>8</v>
      </c>
      <c r="BH15">
        <v>8</v>
      </c>
      <c r="BI15">
        <v>8</v>
      </c>
      <c r="BJ15">
        <v>8</v>
      </c>
      <c r="BK15">
        <v>8</v>
      </c>
      <c r="BL15">
        <v>8</v>
      </c>
      <c r="BM15">
        <v>8</v>
      </c>
      <c r="BN15">
        <v>8</v>
      </c>
      <c r="BO15">
        <v>8</v>
      </c>
      <c r="BP15">
        <v>8</v>
      </c>
      <c r="BQ15">
        <v>8</v>
      </c>
      <c r="BR15">
        <v>8</v>
      </c>
      <c r="BS15">
        <v>8</v>
      </c>
      <c r="BT15">
        <v>8</v>
      </c>
      <c r="BU15">
        <v>8</v>
      </c>
      <c r="BV15">
        <v>8</v>
      </c>
      <c r="BW15">
        <v>8</v>
      </c>
      <c r="BX15">
        <v>8</v>
      </c>
      <c r="BY15">
        <v>8</v>
      </c>
      <c r="BZ15">
        <v>8</v>
      </c>
      <c r="CA15">
        <v>8</v>
      </c>
      <c r="CB15">
        <v>8</v>
      </c>
      <c r="CC15">
        <v>8</v>
      </c>
      <c r="CD15">
        <v>8</v>
      </c>
      <c r="CE15">
        <v>8</v>
      </c>
      <c r="CF15">
        <v>8</v>
      </c>
      <c r="CG15">
        <v>8</v>
      </c>
      <c r="CH15">
        <v>8</v>
      </c>
      <c r="CI15">
        <v>8</v>
      </c>
      <c r="CJ15">
        <v>8</v>
      </c>
      <c r="CK15">
        <v>8</v>
      </c>
      <c r="CL15">
        <v>8</v>
      </c>
      <c r="CM15">
        <v>8</v>
      </c>
      <c r="CN15">
        <v>8</v>
      </c>
      <c r="CO15">
        <v>8</v>
      </c>
      <c r="CP15">
        <v>8</v>
      </c>
      <c r="CQ15">
        <v>8</v>
      </c>
      <c r="CR15">
        <v>8</v>
      </c>
      <c r="CS15">
        <v>8</v>
      </c>
      <c r="CT15">
        <v>8</v>
      </c>
      <c r="CU15">
        <v>8</v>
      </c>
      <c r="CV15">
        <v>8</v>
      </c>
      <c r="CW15">
        <v>8</v>
      </c>
      <c r="CX15">
        <v>8</v>
      </c>
      <c r="CY15">
        <v>8</v>
      </c>
      <c r="CZ15">
        <v>8</v>
      </c>
      <c r="DA15">
        <v>8</v>
      </c>
      <c r="DB15">
        <v>8</v>
      </c>
      <c r="DC15">
        <v>8</v>
      </c>
      <c r="DD15">
        <v>8</v>
      </c>
      <c r="DE15">
        <v>8</v>
      </c>
      <c r="DF15">
        <v>8</v>
      </c>
      <c r="DG15">
        <v>8</v>
      </c>
      <c r="DH15">
        <v>8</v>
      </c>
      <c r="DI15">
        <v>8</v>
      </c>
      <c r="DJ15">
        <v>8</v>
      </c>
      <c r="DK15">
        <v>8</v>
      </c>
      <c r="DL15">
        <v>8</v>
      </c>
      <c r="DM15">
        <v>8</v>
      </c>
      <c r="DN15">
        <v>8</v>
      </c>
      <c r="DO15">
        <v>8</v>
      </c>
      <c r="DP15">
        <v>8</v>
      </c>
      <c r="DQ15">
        <v>8</v>
      </c>
      <c r="DR15">
        <v>8</v>
      </c>
      <c r="DS15">
        <v>8</v>
      </c>
      <c r="DT15">
        <v>8</v>
      </c>
      <c r="DU15">
        <v>8</v>
      </c>
      <c r="DV15">
        <v>8</v>
      </c>
      <c r="DW15">
        <v>8</v>
      </c>
      <c r="DX15">
        <v>8</v>
      </c>
      <c r="DY15">
        <v>8</v>
      </c>
      <c r="DZ15">
        <v>8</v>
      </c>
      <c r="EA15">
        <v>8</v>
      </c>
      <c r="EB15">
        <v>8</v>
      </c>
      <c r="EC15">
        <v>8</v>
      </c>
      <c r="ED15">
        <v>8</v>
      </c>
      <c r="EE15">
        <v>8</v>
      </c>
      <c r="EF15">
        <v>8</v>
      </c>
      <c r="EG15">
        <v>8</v>
      </c>
      <c r="EH15">
        <v>8</v>
      </c>
      <c r="EI15">
        <v>8</v>
      </c>
      <c r="EJ15">
        <v>8</v>
      </c>
      <c r="EK15">
        <v>8</v>
      </c>
      <c r="EL15">
        <v>8</v>
      </c>
      <c r="EM15">
        <v>8</v>
      </c>
      <c r="EN15">
        <v>8</v>
      </c>
      <c r="EO15">
        <v>8</v>
      </c>
      <c r="EP15">
        <v>8</v>
      </c>
      <c r="EQ15">
        <v>8</v>
      </c>
      <c r="ER15">
        <v>8</v>
      </c>
      <c r="ES15">
        <v>8</v>
      </c>
      <c r="ET15">
        <v>8</v>
      </c>
      <c r="EU15">
        <v>8</v>
      </c>
      <c r="EV15">
        <v>8</v>
      </c>
      <c r="EW15">
        <v>8</v>
      </c>
      <c r="EX15">
        <v>8</v>
      </c>
      <c r="EY15">
        <v>8</v>
      </c>
      <c r="EZ15">
        <v>8</v>
      </c>
      <c r="FA15">
        <v>8</v>
      </c>
      <c r="FB15">
        <v>8</v>
      </c>
      <c r="FC15">
        <v>8</v>
      </c>
      <c r="FD15">
        <v>8</v>
      </c>
      <c r="FE15">
        <v>8</v>
      </c>
      <c r="FF15">
        <v>8</v>
      </c>
      <c r="FG15">
        <v>8</v>
      </c>
      <c r="FH15">
        <v>8</v>
      </c>
      <c r="FI15">
        <v>8</v>
      </c>
      <c r="FJ15">
        <v>8</v>
      </c>
      <c r="FK15">
        <v>8</v>
      </c>
      <c r="FL15">
        <v>8</v>
      </c>
      <c r="FM15">
        <v>8</v>
      </c>
      <c r="FN15">
        <v>8</v>
      </c>
      <c r="FO15">
        <v>8</v>
      </c>
      <c r="FP15">
        <v>8</v>
      </c>
      <c r="FQ15">
        <v>8</v>
      </c>
      <c r="FR15">
        <v>8</v>
      </c>
      <c r="FS15">
        <v>8</v>
      </c>
      <c r="FT15">
        <v>8</v>
      </c>
      <c r="FU15">
        <v>8</v>
      </c>
      <c r="FV15">
        <v>8</v>
      </c>
      <c r="FW15">
        <v>8</v>
      </c>
      <c r="FX15">
        <v>8</v>
      </c>
      <c r="FY15">
        <v>8</v>
      </c>
      <c r="FZ15">
        <v>8</v>
      </c>
      <c r="GA15">
        <v>8</v>
      </c>
      <c r="GB15">
        <v>8</v>
      </c>
      <c r="GC15">
        <v>8</v>
      </c>
      <c r="GD15">
        <v>8</v>
      </c>
      <c r="GE15">
        <v>8</v>
      </c>
      <c r="GF15">
        <v>8</v>
      </c>
      <c r="GG15">
        <v>8</v>
      </c>
      <c r="GH15">
        <v>8</v>
      </c>
      <c r="GI15">
        <v>8</v>
      </c>
      <c r="GJ15">
        <v>8</v>
      </c>
      <c r="GK15">
        <v>8</v>
      </c>
      <c r="GL15">
        <v>8</v>
      </c>
      <c r="GM15">
        <v>8</v>
      </c>
      <c r="GN15">
        <v>8</v>
      </c>
      <c r="GO15">
        <v>8</v>
      </c>
      <c r="GP15">
        <v>8</v>
      </c>
      <c r="GQ15">
        <v>8</v>
      </c>
      <c r="GR15">
        <v>8</v>
      </c>
      <c r="GS15">
        <v>8</v>
      </c>
      <c r="GT15">
        <v>8</v>
      </c>
      <c r="GU15">
        <v>8</v>
      </c>
      <c r="GV15">
        <v>8</v>
      </c>
      <c r="GW15">
        <v>8</v>
      </c>
      <c r="GX15">
        <v>8</v>
      </c>
      <c r="GY15">
        <v>8</v>
      </c>
      <c r="GZ15">
        <v>8</v>
      </c>
      <c r="HA15">
        <v>8</v>
      </c>
      <c r="HB15">
        <v>8</v>
      </c>
      <c r="HC15">
        <v>8</v>
      </c>
      <c r="HD15">
        <v>8</v>
      </c>
      <c r="HE15">
        <v>8</v>
      </c>
      <c r="HF15">
        <v>8</v>
      </c>
      <c r="HG15">
        <v>8</v>
      </c>
      <c r="HH15">
        <v>8</v>
      </c>
      <c r="HI15">
        <v>8</v>
      </c>
      <c r="HJ15">
        <v>8</v>
      </c>
      <c r="HK15">
        <v>8</v>
      </c>
      <c r="HL15">
        <v>8</v>
      </c>
      <c r="HM15">
        <v>8</v>
      </c>
      <c r="HN15">
        <v>8</v>
      </c>
      <c r="HO15">
        <v>8</v>
      </c>
      <c r="HP15">
        <v>8</v>
      </c>
      <c r="HQ15">
        <v>8</v>
      </c>
      <c r="HR15">
        <v>8</v>
      </c>
      <c r="HS15">
        <v>8</v>
      </c>
      <c r="HT15">
        <v>8</v>
      </c>
      <c r="HU15">
        <v>8</v>
      </c>
      <c r="HV15">
        <v>8</v>
      </c>
      <c r="HW15">
        <v>8</v>
      </c>
      <c r="HX15">
        <v>8</v>
      </c>
      <c r="HY15">
        <v>8</v>
      </c>
      <c r="HZ15">
        <v>8</v>
      </c>
      <c r="IA15">
        <v>8</v>
      </c>
      <c r="IB15">
        <v>8</v>
      </c>
      <c r="IC15">
        <v>8</v>
      </c>
      <c r="ID15">
        <v>8</v>
      </c>
      <c r="IE15">
        <v>8</v>
      </c>
      <c r="IF15">
        <v>8</v>
      </c>
      <c r="IG15">
        <v>8</v>
      </c>
      <c r="IH15">
        <v>8</v>
      </c>
      <c r="II15">
        <v>8</v>
      </c>
      <c r="IJ15">
        <v>8</v>
      </c>
      <c r="IK15">
        <v>8</v>
      </c>
      <c r="IL15">
        <v>8</v>
      </c>
      <c r="IM15">
        <v>8</v>
      </c>
      <c r="IN15">
        <v>8</v>
      </c>
      <c r="IO15">
        <v>8</v>
      </c>
      <c r="IP15">
        <v>8</v>
      </c>
      <c r="IQ15">
        <v>8</v>
      </c>
      <c r="IR15">
        <v>8</v>
      </c>
      <c r="IS15">
        <v>8</v>
      </c>
      <c r="IT15">
        <v>8</v>
      </c>
      <c r="IU15">
        <v>8</v>
      </c>
      <c r="IV15">
        <v>8</v>
      </c>
      <c r="IW1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16" customWidth="1"/>
    <col min="8" max="8" width="12" customWidth="1"/>
    <col min="9" max="9" width="32" customWidth="1"/>
    <col min="10" max="11" width="41" customWidth="1"/>
    <col min="12" max="12" width="89" customWidth="1"/>
    <col min="13" max="13" width="3" customWidth="1"/>
    <col min="14" max="16" width="8" customWidth="1"/>
    <col min="17" max="17" width="25" customWidth="1"/>
    <col min="18" max="18" width="14" customWidth="1"/>
    <col min="19" max="256" width="8" customWidth="1"/>
    <col min="257" max="257" width="9.140625" hidden="1"/>
  </cols>
  <sheetData>
    <row r="1" spans="1:257" ht="22.5" hidden="1" customHeight="1" x14ac:dyDescent="0.15">
      <c r="IW1" t="s">
        <v>14</v>
      </c>
    </row>
    <row r="2" spans="1:257" ht="22.5" hidden="1" customHeight="1" x14ac:dyDescent="0.15">
      <c r="B2">
        <v>1</v>
      </c>
      <c r="D2" t="s">
        <v>106</v>
      </c>
      <c r="F2" t="str">
        <f>IF(ROIV_INFO_NAME="","",ROIV_INFO_NAME)</f>
        <v>КГУП "Примтеплоэнерго"</v>
      </c>
      <c r="G2" t="s">
        <v>28</v>
      </c>
      <c r="M2" t="e">
        <f ca="1">MERGEVALUE(F2)</f>
        <v>#NAME?</v>
      </c>
      <c r="P2" t="str">
        <f t="array" ref="P2">IF(ISERROR(MATCH(MID(Q2,1,250),MID(note_ter,1,250),0)),"n","y")</f>
        <v>n</v>
      </c>
      <c r="R2" t="str">
        <f>G2&amp;"("&amp;L2&amp;")"</f>
        <v>()</v>
      </c>
      <c r="IW2">
        <v>0</v>
      </c>
    </row>
    <row r="3" spans="1:257" ht="5.25" hidden="1" customHeight="1" x14ac:dyDescent="0.15">
      <c r="F3" t="s">
        <v>85</v>
      </c>
      <c r="G3" t="s">
        <v>86</v>
      </c>
      <c r="L3" t="s">
        <v>87</v>
      </c>
      <c r="M3" t="s">
        <v>85</v>
      </c>
      <c r="IW3">
        <v>0</v>
      </c>
    </row>
    <row r="4" spans="1:257" ht="14.65" customHeight="1" x14ac:dyDescent="0.15">
      <c r="IW4">
        <v>14</v>
      </c>
    </row>
    <row r="5" spans="1:257" ht="27.4" customHeight="1" x14ac:dyDescent="0.15">
      <c r="E5" s="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
      <c r="G5" s="1"/>
      <c r="H5" s="1"/>
      <c r="I5" s="1"/>
      <c r="J5" s="1"/>
      <c r="K5" s="1"/>
      <c r="IW5">
        <v>26</v>
      </c>
    </row>
    <row r="6" spans="1:257" ht="14.65" customHeight="1" x14ac:dyDescent="0.15">
      <c r="IW6">
        <v>14</v>
      </c>
    </row>
    <row r="7" spans="1:257" ht="14.65" customHeight="1" x14ac:dyDescent="0.15">
      <c r="E7" s="1" t="s">
        <v>418</v>
      </c>
      <c r="F7" s="1"/>
      <c r="G7" s="1"/>
      <c r="H7" s="1"/>
      <c r="I7" s="1"/>
      <c r="J7" s="1"/>
      <c r="K7" s="1"/>
      <c r="L7" s="1" t="s">
        <v>419</v>
      </c>
      <c r="IW7">
        <v>14</v>
      </c>
    </row>
    <row r="8" spans="1:257" ht="67.150000000000006" customHeight="1" x14ac:dyDescent="0.15">
      <c r="E8" s="1" t="s">
        <v>90</v>
      </c>
      <c r="F8" s="1" t="s">
        <v>1998</v>
      </c>
      <c r="G8" s="1" t="s">
        <v>1999</v>
      </c>
      <c r="H8" s="1"/>
      <c r="I8" s="1"/>
      <c r="J8" s="1" t="s">
        <v>2000</v>
      </c>
      <c r="K8" s="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
      <c r="IW8">
        <v>64</v>
      </c>
    </row>
    <row r="9" spans="1:257" ht="29.25" customHeight="1" x14ac:dyDescent="0.15">
      <c r="E9" s="1"/>
      <c r="F9" s="1"/>
      <c r="G9" t="s">
        <v>1994</v>
      </c>
      <c r="H9" t="s">
        <v>1995</v>
      </c>
      <c r="I9" t="s">
        <v>1996</v>
      </c>
      <c r="J9" s="1"/>
      <c r="K9" s="1"/>
      <c r="L9" s="1"/>
      <c r="IW9">
        <v>28</v>
      </c>
    </row>
    <row r="10" spans="1:257" ht="1.1499999999999999" customHeight="1" x14ac:dyDescent="0.15">
      <c r="A10" s="1"/>
      <c r="B10">
        <v>1</v>
      </c>
      <c r="E10">
        <v>0</v>
      </c>
      <c r="F10" t="str">
        <f>IF(ROIV_INFO_NAME="","",ROIV_INFO_NAME)</f>
        <v>КГУП "Примтеплоэнерго"</v>
      </c>
      <c r="G10" t="s">
        <v>28</v>
      </c>
      <c r="L10" s="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t="e">
        <f ca="1">MERGEVALUE(F10)</f>
        <v>#NAME?</v>
      </c>
      <c r="P10" t="str">
        <f t="array" ref="P10">IF(ISERROR(MATCH(MID(Q10,1,250),MID(note_ter,1,250),0)),"n","y")</f>
        <v>n</v>
      </c>
      <c r="R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v>1</v>
      </c>
    </row>
    <row r="11" spans="1:257" ht="15.75" customHeight="1" x14ac:dyDescent="0.15">
      <c r="A11" s="1"/>
      <c r="F11" t="s">
        <v>1997</v>
      </c>
      <c r="L11" s="1"/>
      <c r="IW11">
        <v>15</v>
      </c>
    </row>
    <row r="12" spans="1:257" ht="21.95" customHeight="1" x14ac:dyDescent="0.15">
      <c r="IW12">
        <v>21</v>
      </c>
    </row>
    <row r="13" spans="1:257" ht="14.65" customHeight="1" x14ac:dyDescent="0.15">
      <c r="IW13">
        <v>14</v>
      </c>
    </row>
    <row r="14" spans="1:257" ht="1.1499999999999999" customHeight="1" x14ac:dyDescent="0.15">
      <c r="IW14">
        <v>1</v>
      </c>
    </row>
    <row r="15" spans="1:257" ht="22.5" hidden="1" customHeight="1" x14ac:dyDescent="0.15">
      <c r="A15" t="s">
        <v>84</v>
      </c>
      <c r="B15">
        <v>0</v>
      </c>
      <c r="C15">
        <v>0</v>
      </c>
      <c r="D15">
        <v>3</v>
      </c>
      <c r="E15">
        <v>6</v>
      </c>
      <c r="F15">
        <v>27</v>
      </c>
      <c r="G15">
        <v>16</v>
      </c>
      <c r="H15">
        <v>12</v>
      </c>
      <c r="I15">
        <v>32</v>
      </c>
      <c r="J15">
        <v>41</v>
      </c>
      <c r="K15">
        <v>41</v>
      </c>
      <c r="L15">
        <v>89</v>
      </c>
      <c r="M15">
        <v>3</v>
      </c>
      <c r="N15">
        <v>8</v>
      </c>
      <c r="O15">
        <v>8</v>
      </c>
      <c r="P15">
        <v>8</v>
      </c>
      <c r="Q15">
        <v>25</v>
      </c>
      <c r="R15">
        <v>14</v>
      </c>
      <c r="S15">
        <v>8</v>
      </c>
      <c r="T15">
        <v>8</v>
      </c>
      <c r="U15">
        <v>8</v>
      </c>
      <c r="V15">
        <v>8</v>
      </c>
      <c r="W15">
        <v>8</v>
      </c>
      <c r="X15">
        <v>8</v>
      </c>
      <c r="Y15">
        <v>8</v>
      </c>
      <c r="Z15">
        <v>8</v>
      </c>
      <c r="AA15">
        <v>8</v>
      </c>
      <c r="AB15">
        <v>8</v>
      </c>
      <c r="AC15">
        <v>8</v>
      </c>
      <c r="AD15">
        <v>8</v>
      </c>
      <c r="AE15">
        <v>8</v>
      </c>
      <c r="AF15">
        <v>8</v>
      </c>
      <c r="AG15">
        <v>8</v>
      </c>
      <c r="AH15">
        <v>8</v>
      </c>
      <c r="AI15">
        <v>8</v>
      </c>
      <c r="AJ15">
        <v>8</v>
      </c>
      <c r="AK15">
        <v>8</v>
      </c>
      <c r="AL15">
        <v>8</v>
      </c>
      <c r="AM15">
        <v>8</v>
      </c>
      <c r="AN15">
        <v>8</v>
      </c>
      <c r="AO15">
        <v>8</v>
      </c>
      <c r="AP15">
        <v>8</v>
      </c>
      <c r="AQ15">
        <v>8</v>
      </c>
      <c r="AR15">
        <v>8</v>
      </c>
      <c r="AS15">
        <v>8</v>
      </c>
      <c r="AT15">
        <v>8</v>
      </c>
      <c r="AU15">
        <v>8</v>
      </c>
      <c r="AV15">
        <v>8</v>
      </c>
      <c r="AW15">
        <v>8</v>
      </c>
      <c r="AX15">
        <v>8</v>
      </c>
      <c r="AY15">
        <v>8</v>
      </c>
      <c r="AZ15">
        <v>8</v>
      </c>
      <c r="BA15">
        <v>8</v>
      </c>
      <c r="BB15">
        <v>8</v>
      </c>
      <c r="BC15">
        <v>8</v>
      </c>
      <c r="BD15">
        <v>8</v>
      </c>
      <c r="BE15">
        <v>8</v>
      </c>
      <c r="BF15">
        <v>8</v>
      </c>
      <c r="BG15">
        <v>8</v>
      </c>
      <c r="BH15">
        <v>8</v>
      </c>
      <c r="BI15">
        <v>8</v>
      </c>
      <c r="BJ15">
        <v>8</v>
      </c>
      <c r="BK15">
        <v>8</v>
      </c>
      <c r="BL15">
        <v>8</v>
      </c>
      <c r="BM15">
        <v>8</v>
      </c>
      <c r="BN15">
        <v>8</v>
      </c>
      <c r="BO15">
        <v>8</v>
      </c>
      <c r="BP15">
        <v>8</v>
      </c>
      <c r="BQ15">
        <v>8</v>
      </c>
      <c r="BR15">
        <v>8</v>
      </c>
      <c r="BS15">
        <v>8</v>
      </c>
      <c r="BT15">
        <v>8</v>
      </c>
      <c r="BU15">
        <v>8</v>
      </c>
      <c r="BV15">
        <v>8</v>
      </c>
      <c r="BW15">
        <v>8</v>
      </c>
      <c r="BX15">
        <v>8</v>
      </c>
      <c r="BY15">
        <v>8</v>
      </c>
      <c r="BZ15">
        <v>8</v>
      </c>
      <c r="CA15">
        <v>8</v>
      </c>
      <c r="CB15">
        <v>8</v>
      </c>
      <c r="CC15">
        <v>8</v>
      </c>
      <c r="CD15">
        <v>8</v>
      </c>
      <c r="CE15">
        <v>8</v>
      </c>
      <c r="CF15">
        <v>8</v>
      </c>
      <c r="CG15">
        <v>8</v>
      </c>
      <c r="CH15">
        <v>8</v>
      </c>
      <c r="CI15">
        <v>8</v>
      </c>
      <c r="CJ15">
        <v>8</v>
      </c>
      <c r="CK15">
        <v>8</v>
      </c>
      <c r="CL15">
        <v>8</v>
      </c>
      <c r="CM15">
        <v>8</v>
      </c>
      <c r="CN15">
        <v>8</v>
      </c>
      <c r="CO15">
        <v>8</v>
      </c>
      <c r="CP15">
        <v>8</v>
      </c>
      <c r="CQ15">
        <v>8</v>
      </c>
      <c r="CR15">
        <v>8</v>
      </c>
      <c r="CS15">
        <v>8</v>
      </c>
      <c r="CT15">
        <v>8</v>
      </c>
      <c r="CU15">
        <v>8</v>
      </c>
      <c r="CV15">
        <v>8</v>
      </c>
      <c r="CW15">
        <v>8</v>
      </c>
      <c r="CX15">
        <v>8</v>
      </c>
      <c r="CY15">
        <v>8</v>
      </c>
      <c r="CZ15">
        <v>8</v>
      </c>
      <c r="DA15">
        <v>8</v>
      </c>
      <c r="DB15">
        <v>8</v>
      </c>
      <c r="DC15">
        <v>8</v>
      </c>
      <c r="DD15">
        <v>8</v>
      </c>
      <c r="DE15">
        <v>8</v>
      </c>
      <c r="DF15">
        <v>8</v>
      </c>
      <c r="DG15">
        <v>8</v>
      </c>
      <c r="DH15">
        <v>8</v>
      </c>
      <c r="DI15">
        <v>8</v>
      </c>
      <c r="DJ15">
        <v>8</v>
      </c>
      <c r="DK15">
        <v>8</v>
      </c>
      <c r="DL15">
        <v>8</v>
      </c>
      <c r="DM15">
        <v>8</v>
      </c>
      <c r="DN15">
        <v>8</v>
      </c>
      <c r="DO15">
        <v>8</v>
      </c>
      <c r="DP15">
        <v>8</v>
      </c>
      <c r="DQ15">
        <v>8</v>
      </c>
      <c r="DR15">
        <v>8</v>
      </c>
      <c r="DS15">
        <v>8</v>
      </c>
      <c r="DT15">
        <v>8</v>
      </c>
      <c r="DU15">
        <v>8</v>
      </c>
      <c r="DV15">
        <v>8</v>
      </c>
      <c r="DW15">
        <v>8</v>
      </c>
      <c r="DX15">
        <v>8</v>
      </c>
      <c r="DY15">
        <v>8</v>
      </c>
      <c r="DZ15">
        <v>8</v>
      </c>
      <c r="EA15">
        <v>8</v>
      </c>
      <c r="EB15">
        <v>8</v>
      </c>
      <c r="EC15">
        <v>8</v>
      </c>
      <c r="ED15">
        <v>8</v>
      </c>
      <c r="EE15">
        <v>8</v>
      </c>
      <c r="EF15">
        <v>8</v>
      </c>
      <c r="EG15">
        <v>8</v>
      </c>
      <c r="EH15">
        <v>8</v>
      </c>
      <c r="EI15">
        <v>8</v>
      </c>
      <c r="EJ15">
        <v>8</v>
      </c>
      <c r="EK15">
        <v>8</v>
      </c>
      <c r="EL15">
        <v>8</v>
      </c>
      <c r="EM15">
        <v>8</v>
      </c>
      <c r="EN15">
        <v>8</v>
      </c>
      <c r="EO15">
        <v>8</v>
      </c>
      <c r="EP15">
        <v>8</v>
      </c>
      <c r="EQ15">
        <v>8</v>
      </c>
      <c r="ER15">
        <v>8</v>
      </c>
      <c r="ES15">
        <v>8</v>
      </c>
      <c r="ET15">
        <v>8</v>
      </c>
      <c r="EU15">
        <v>8</v>
      </c>
      <c r="EV15">
        <v>8</v>
      </c>
      <c r="EW15">
        <v>8</v>
      </c>
      <c r="EX15">
        <v>8</v>
      </c>
      <c r="EY15">
        <v>8</v>
      </c>
      <c r="EZ15">
        <v>8</v>
      </c>
      <c r="FA15">
        <v>8</v>
      </c>
      <c r="FB15">
        <v>8</v>
      </c>
      <c r="FC15">
        <v>8</v>
      </c>
      <c r="FD15">
        <v>8</v>
      </c>
      <c r="FE15">
        <v>8</v>
      </c>
      <c r="FF15">
        <v>8</v>
      </c>
      <c r="FG15">
        <v>8</v>
      </c>
      <c r="FH15">
        <v>8</v>
      </c>
      <c r="FI15">
        <v>8</v>
      </c>
      <c r="FJ15">
        <v>8</v>
      </c>
      <c r="FK15">
        <v>8</v>
      </c>
      <c r="FL15">
        <v>8</v>
      </c>
      <c r="FM15">
        <v>8</v>
      </c>
      <c r="FN15">
        <v>8</v>
      </c>
      <c r="FO15">
        <v>8</v>
      </c>
      <c r="FP15">
        <v>8</v>
      </c>
      <c r="FQ15">
        <v>8</v>
      </c>
      <c r="FR15">
        <v>8</v>
      </c>
      <c r="FS15">
        <v>8</v>
      </c>
      <c r="FT15">
        <v>8</v>
      </c>
      <c r="FU15">
        <v>8</v>
      </c>
      <c r="FV15">
        <v>8</v>
      </c>
      <c r="FW15">
        <v>8</v>
      </c>
      <c r="FX15">
        <v>8</v>
      </c>
      <c r="FY15">
        <v>8</v>
      </c>
      <c r="FZ15">
        <v>8</v>
      </c>
      <c r="GA15">
        <v>8</v>
      </c>
      <c r="GB15">
        <v>8</v>
      </c>
      <c r="GC15">
        <v>8</v>
      </c>
      <c r="GD15">
        <v>8</v>
      </c>
      <c r="GE15">
        <v>8</v>
      </c>
      <c r="GF15">
        <v>8</v>
      </c>
      <c r="GG15">
        <v>8</v>
      </c>
      <c r="GH15">
        <v>8</v>
      </c>
      <c r="GI15">
        <v>8</v>
      </c>
      <c r="GJ15">
        <v>8</v>
      </c>
      <c r="GK15">
        <v>8</v>
      </c>
      <c r="GL15">
        <v>8</v>
      </c>
      <c r="GM15">
        <v>8</v>
      </c>
      <c r="GN15">
        <v>8</v>
      </c>
      <c r="GO15">
        <v>8</v>
      </c>
      <c r="GP15">
        <v>8</v>
      </c>
      <c r="GQ15">
        <v>8</v>
      </c>
      <c r="GR15">
        <v>8</v>
      </c>
      <c r="GS15">
        <v>8</v>
      </c>
      <c r="GT15">
        <v>8</v>
      </c>
      <c r="GU15">
        <v>8</v>
      </c>
      <c r="GV15">
        <v>8</v>
      </c>
      <c r="GW15">
        <v>8</v>
      </c>
      <c r="GX15">
        <v>8</v>
      </c>
      <c r="GY15">
        <v>8</v>
      </c>
      <c r="GZ15">
        <v>8</v>
      </c>
      <c r="HA15">
        <v>8</v>
      </c>
      <c r="HB15">
        <v>8</v>
      </c>
      <c r="HC15">
        <v>8</v>
      </c>
      <c r="HD15">
        <v>8</v>
      </c>
      <c r="HE15">
        <v>8</v>
      </c>
      <c r="HF15">
        <v>8</v>
      </c>
      <c r="HG15">
        <v>8</v>
      </c>
      <c r="HH15">
        <v>8</v>
      </c>
      <c r="HI15">
        <v>8</v>
      </c>
      <c r="HJ15">
        <v>8</v>
      </c>
      <c r="HK15">
        <v>8</v>
      </c>
      <c r="HL15">
        <v>8</v>
      </c>
      <c r="HM15">
        <v>8</v>
      </c>
      <c r="HN15">
        <v>8</v>
      </c>
      <c r="HO15">
        <v>8</v>
      </c>
      <c r="HP15">
        <v>8</v>
      </c>
      <c r="HQ15">
        <v>8</v>
      </c>
      <c r="HR15">
        <v>8</v>
      </c>
      <c r="HS15">
        <v>8</v>
      </c>
      <c r="HT15">
        <v>8</v>
      </c>
      <c r="HU15">
        <v>8</v>
      </c>
      <c r="HV15">
        <v>8</v>
      </c>
      <c r="HW15">
        <v>8</v>
      </c>
      <c r="HX15">
        <v>8</v>
      </c>
      <c r="HY15">
        <v>8</v>
      </c>
      <c r="HZ15">
        <v>8</v>
      </c>
      <c r="IA15">
        <v>8</v>
      </c>
      <c r="IB15">
        <v>8</v>
      </c>
      <c r="IC15">
        <v>8</v>
      </c>
      <c r="ID15">
        <v>8</v>
      </c>
      <c r="IE15">
        <v>8</v>
      </c>
      <c r="IF15">
        <v>8</v>
      </c>
      <c r="IG15">
        <v>8</v>
      </c>
      <c r="IH15">
        <v>8</v>
      </c>
      <c r="II15">
        <v>8</v>
      </c>
      <c r="IJ15">
        <v>8</v>
      </c>
      <c r="IK15">
        <v>8</v>
      </c>
      <c r="IL15">
        <v>8</v>
      </c>
      <c r="IM15">
        <v>8</v>
      </c>
      <c r="IN15">
        <v>8</v>
      </c>
      <c r="IO15">
        <v>8</v>
      </c>
      <c r="IP15">
        <v>8</v>
      </c>
      <c r="IQ15">
        <v>8</v>
      </c>
      <c r="IR15">
        <v>8</v>
      </c>
      <c r="IS15">
        <v>8</v>
      </c>
      <c r="IT15">
        <v>8</v>
      </c>
      <c r="IU15">
        <v>8</v>
      </c>
      <c r="IV15">
        <v>8</v>
      </c>
      <c r="IW1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x14ac:dyDescent="0.15"/>
  <cols>
    <col min="1" max="2" width="9.140625" hidden="1"/>
    <col min="3" max="3" width="3.7109375" hidden="1" customWidth="1"/>
    <col min="4" max="4" width="3" customWidth="1"/>
    <col min="5" max="5" width="6" customWidth="1"/>
    <col min="6" max="6" width="27" customWidth="1"/>
    <col min="7" max="7" width="29" customWidth="1"/>
    <col min="8" max="8" width="25" customWidth="1"/>
    <col min="9" max="9" width="5" customWidth="1"/>
    <col min="10" max="10" width="6" customWidth="1"/>
    <col min="11" max="11" width="41" customWidth="1"/>
    <col min="12" max="12" width="42" customWidth="1"/>
    <col min="13" max="13" width="41" customWidth="1"/>
    <col min="14" max="14" width="89" customWidth="1"/>
    <col min="15" max="15" width="3" customWidth="1"/>
    <col min="16" max="16" width="8" customWidth="1"/>
    <col min="17" max="17" width="9.140625" hidden="1"/>
  </cols>
  <sheetData>
    <row r="1" spans="1:17" ht="22.5" hidden="1" customHeight="1" x14ac:dyDescent="0.15">
      <c r="Q1" t="s">
        <v>14</v>
      </c>
    </row>
    <row r="2" spans="1:17" ht="22.5" hidden="1" customHeight="1" x14ac:dyDescent="0.15">
      <c r="B2">
        <v>1</v>
      </c>
      <c r="D2" t="s">
        <v>106</v>
      </c>
      <c r="E2" s="1">
        <v>1</v>
      </c>
      <c r="F2" s="1" t="str">
        <f>IF(region_name="","",region_name)</f>
        <v>Приморский край</v>
      </c>
      <c r="G2" s="1"/>
      <c r="H2" s="1"/>
      <c r="J2">
        <v>1</v>
      </c>
      <c r="Q2">
        <v>0</v>
      </c>
    </row>
    <row r="3" spans="1:17" ht="22.5" hidden="1" customHeight="1" x14ac:dyDescent="0.15">
      <c r="E3" s="1"/>
      <c r="F3" s="1"/>
      <c r="G3" s="1"/>
      <c r="H3" s="1"/>
      <c r="K3" t="s">
        <v>2001</v>
      </c>
      <c r="Q3">
        <v>0</v>
      </c>
    </row>
    <row r="4" spans="1:17" ht="5.25" hidden="1" customHeight="1" x14ac:dyDescent="0.15">
      <c r="F4" t="s">
        <v>85</v>
      </c>
      <c r="G4" t="s">
        <v>86</v>
      </c>
      <c r="O4" t="s">
        <v>85</v>
      </c>
      <c r="Q4">
        <v>0</v>
      </c>
    </row>
    <row r="5" spans="1:17" ht="22.5" hidden="1" customHeight="1" x14ac:dyDescent="0.15">
      <c r="B5">
        <v>1</v>
      </c>
      <c r="I5" t="s">
        <v>106</v>
      </c>
      <c r="J5">
        <v>1</v>
      </c>
      <c r="Q5">
        <v>0</v>
      </c>
    </row>
    <row r="6" spans="1:17" ht="14.65" customHeight="1" x14ac:dyDescent="0.15">
      <c r="Q6">
        <v>14</v>
      </c>
    </row>
    <row r="7" spans="1:17" ht="27.4" customHeight="1" x14ac:dyDescent="0.15">
      <c r="E7" s="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
      <c r="G7" s="1"/>
      <c r="H7" s="1"/>
      <c r="I7" s="1"/>
      <c r="J7" s="1"/>
      <c r="K7" s="1"/>
      <c r="L7" s="1"/>
      <c r="M7" s="1"/>
      <c r="Q7">
        <v>26</v>
      </c>
    </row>
    <row r="8" spans="1:17" ht="14.65" customHeight="1" x14ac:dyDescent="0.15">
      <c r="Q8">
        <v>14</v>
      </c>
    </row>
    <row r="9" spans="1:17" ht="14.25" hidden="1" customHeight="1" x14ac:dyDescent="0.15">
      <c r="I9" s="1"/>
      <c r="J9" s="1"/>
      <c r="K9" s="1"/>
      <c r="Q9">
        <v>0</v>
      </c>
    </row>
    <row r="10" spans="1:17" ht="14.65" customHeight="1" x14ac:dyDescent="0.15">
      <c r="E10" s="1" t="s">
        <v>418</v>
      </c>
      <c r="F10" s="1"/>
      <c r="G10" s="1"/>
      <c r="H10" s="1"/>
      <c r="I10" s="1"/>
      <c r="J10" s="1"/>
      <c r="K10" s="1"/>
      <c r="L10" s="1"/>
      <c r="M10" s="1"/>
      <c r="N10" s="1" t="s">
        <v>419</v>
      </c>
      <c r="Q10">
        <v>14</v>
      </c>
    </row>
    <row r="11" spans="1:17" ht="44.25" customHeight="1" x14ac:dyDescent="0.15">
      <c r="E11" s="1" t="s">
        <v>90</v>
      </c>
      <c r="F11" s="1" t="s">
        <v>422</v>
      </c>
      <c r="G11" s="1" t="s">
        <v>2002</v>
      </c>
      <c r="H11" s="1"/>
      <c r="I11" s="1" t="s">
        <v>2003</v>
      </c>
      <c r="J11" s="1"/>
      <c r="K11" s="1"/>
      <c r="L11" s="1" t="s">
        <v>2004</v>
      </c>
      <c r="M11" s="1" t="s">
        <v>2005</v>
      </c>
      <c r="N11" s="1"/>
      <c r="Q11">
        <v>42</v>
      </c>
    </row>
    <row r="12" spans="1:17" ht="29.25" customHeight="1" x14ac:dyDescent="0.15">
      <c r="E12" s="1"/>
      <c r="F12" s="1"/>
      <c r="G12" t="s">
        <v>2006</v>
      </c>
      <c r="H12" t="s">
        <v>426</v>
      </c>
      <c r="I12" s="1"/>
      <c r="J12" s="1"/>
      <c r="K12" s="1"/>
      <c r="L12" s="1"/>
      <c r="M12" s="1"/>
      <c r="N12" s="1"/>
      <c r="Q12">
        <v>28</v>
      </c>
    </row>
    <row r="13" spans="1:17" ht="23.25" customHeight="1" x14ac:dyDescent="0.15">
      <c r="A13" s="1">
        <v>26379339</v>
      </c>
      <c r="B13">
        <v>1</v>
      </c>
      <c r="E13" s="1">
        <v>1</v>
      </c>
      <c r="F13" s="1" t="str">
        <f>IF(region_name="","",region_name)</f>
        <v>Приморский край</v>
      </c>
      <c r="G13" s="1"/>
      <c r="H13" s="1"/>
      <c r="J13">
        <v>1</v>
      </c>
      <c r="N13" s="1" t="s">
        <v>2007</v>
      </c>
      <c r="Q13">
        <v>22</v>
      </c>
    </row>
    <row r="14" spans="1:17" ht="23.25" customHeight="1" x14ac:dyDescent="0.15">
      <c r="A14" s="1"/>
      <c r="E14" s="1"/>
      <c r="F14" s="1"/>
      <c r="G14" s="1"/>
      <c r="H14" s="1"/>
      <c r="K14" t="s">
        <v>2001</v>
      </c>
      <c r="N14" s="1"/>
      <c r="Q14">
        <v>22</v>
      </c>
    </row>
    <row r="15" spans="1:17" ht="23.25" customHeight="1" x14ac:dyDescent="0.15">
      <c r="A15" s="1"/>
      <c r="F15" t="s">
        <v>1993</v>
      </c>
      <c r="N15" s="1"/>
      <c r="Q15">
        <v>22</v>
      </c>
    </row>
    <row r="16" spans="1:17" ht="21.95" customHeight="1" x14ac:dyDescent="0.15">
      <c r="Q16">
        <v>21</v>
      </c>
    </row>
    <row r="17" spans="1:17" ht="14.65" customHeight="1" x14ac:dyDescent="0.15">
      <c r="Q17">
        <v>14</v>
      </c>
    </row>
    <row r="18" spans="1:17" ht="1.1499999999999999" customHeight="1" x14ac:dyDescent="0.15">
      <c r="Q18">
        <v>1</v>
      </c>
    </row>
    <row r="19" spans="1:17" ht="22.5" hidden="1" customHeight="1" x14ac:dyDescent="0.15">
      <c r="A19" t="s">
        <v>84</v>
      </c>
      <c r="B19">
        <v>0</v>
      </c>
      <c r="C19">
        <v>0</v>
      </c>
      <c r="D19">
        <v>3</v>
      </c>
      <c r="E19">
        <v>6</v>
      </c>
      <c r="F19">
        <v>27</v>
      </c>
      <c r="G19">
        <v>29</v>
      </c>
      <c r="H19">
        <v>25</v>
      </c>
      <c r="I19">
        <v>5</v>
      </c>
      <c r="J19">
        <v>6</v>
      </c>
      <c r="K19">
        <v>41</v>
      </c>
      <c r="L19">
        <v>42</v>
      </c>
      <c r="M19">
        <v>41</v>
      </c>
      <c r="N19">
        <v>89</v>
      </c>
      <c r="O19">
        <v>3</v>
      </c>
      <c r="P19">
        <v>8</v>
      </c>
      <c r="Q1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x14ac:dyDescent="0.15"/>
  <cols>
    <col min="1" max="2" width="9.140625" hidden="1"/>
    <col min="3" max="3" width="3" customWidth="1"/>
    <col min="4" max="4" width="6" customWidth="1"/>
    <col min="5" max="5" width="22" customWidth="1"/>
    <col min="6" max="6" width="15" customWidth="1"/>
    <col min="7" max="7" width="14" customWidth="1"/>
    <col min="8" max="8" width="47" customWidth="1"/>
    <col min="9" max="9" width="115" customWidth="1"/>
    <col min="10" max="10" width="3" customWidth="1"/>
    <col min="11" max="12" width="8" customWidth="1"/>
    <col min="13" max="13" width="9.140625" hidden="1"/>
  </cols>
  <sheetData>
    <row r="1" spans="1:13" ht="14.25" hidden="1" customHeight="1" x14ac:dyDescent="0.15">
      <c r="M1" t="s">
        <v>14</v>
      </c>
    </row>
    <row r="2" spans="1:13" ht="14.25" hidden="1" customHeight="1" x14ac:dyDescent="0.15">
      <c r="M2">
        <v>0</v>
      </c>
    </row>
    <row r="3" spans="1:13" ht="14.25" hidden="1" customHeight="1" x14ac:dyDescent="0.15">
      <c r="M3">
        <v>0</v>
      </c>
    </row>
    <row r="4" spans="1:13" ht="3" customHeight="1" x14ac:dyDescent="0.15">
      <c r="M4">
        <v>3</v>
      </c>
    </row>
    <row r="5" spans="1:13" ht="31.5" customHeight="1" x14ac:dyDescent="0.15">
      <c r="D5" s="1" t="s">
        <v>2008</v>
      </c>
      <c r="E5" s="1"/>
      <c r="F5" s="1"/>
      <c r="G5" s="1"/>
      <c r="H5" s="1"/>
      <c r="M5">
        <v>30</v>
      </c>
    </row>
    <row r="6" spans="1:13" ht="3" hidden="1" customHeight="1" x14ac:dyDescent="0.15">
      <c r="M6">
        <v>0</v>
      </c>
    </row>
    <row r="7" spans="1:13" ht="14.65" customHeight="1" x14ac:dyDescent="0.15">
      <c r="M7">
        <v>14</v>
      </c>
    </row>
    <row r="8" spans="1:13" ht="14.65" customHeight="1" x14ac:dyDescent="0.15">
      <c r="D8" s="1" t="s">
        <v>418</v>
      </c>
      <c r="E8" s="1"/>
      <c r="F8" s="1"/>
      <c r="G8" s="1"/>
      <c r="H8" s="1"/>
      <c r="I8" s="1" t="s">
        <v>419</v>
      </c>
      <c r="M8">
        <v>14</v>
      </c>
    </row>
    <row r="9" spans="1:13" ht="29.25" customHeight="1" x14ac:dyDescent="0.15">
      <c r="D9" s="1" t="s">
        <v>90</v>
      </c>
      <c r="E9" s="1" t="s">
        <v>2009</v>
      </c>
      <c r="F9" s="1"/>
      <c r="G9" s="1"/>
      <c r="H9" s="1"/>
      <c r="I9" s="1"/>
      <c r="M9">
        <v>28</v>
      </c>
    </row>
    <row r="10" spans="1:13" ht="24" customHeight="1" x14ac:dyDescent="0.15">
      <c r="D10" s="1"/>
      <c r="E10" t="s">
        <v>2010</v>
      </c>
      <c r="F10" t="s">
        <v>2011</v>
      </c>
      <c r="G10" t="s">
        <v>2012</v>
      </c>
      <c r="H10" t="s">
        <v>508</v>
      </c>
      <c r="I10" s="1"/>
      <c r="M10">
        <v>23</v>
      </c>
    </row>
    <row r="11" spans="1:13" ht="12" hidden="1" customHeight="1" x14ac:dyDescent="0.15">
      <c r="D11" t="s">
        <v>101</v>
      </c>
      <c r="E11" t="s">
        <v>93</v>
      </c>
      <c r="F11" t="s">
        <v>120</v>
      </c>
      <c r="G11" t="s">
        <v>94</v>
      </c>
      <c r="H11" t="s">
        <v>95</v>
      </c>
      <c r="I11" t="s">
        <v>134</v>
      </c>
      <c r="M11">
        <v>0</v>
      </c>
    </row>
    <row r="12" spans="1:13" ht="26.25" customHeight="1" x14ac:dyDescent="0.15">
      <c r="A12" t="s">
        <v>92</v>
      </c>
      <c r="B12" t="s">
        <v>28</v>
      </c>
      <c r="D12" t="s">
        <v>101</v>
      </c>
      <c r="G12" t="s">
        <v>28</v>
      </c>
      <c r="I12" s="1" t="s">
        <v>2013</v>
      </c>
      <c r="M12">
        <v>25</v>
      </c>
    </row>
    <row r="13" spans="1:13" ht="15.75" customHeight="1" x14ac:dyDescent="0.15">
      <c r="E13" t="s">
        <v>583</v>
      </c>
      <c r="I13" s="1"/>
      <c r="M13">
        <v>15</v>
      </c>
    </row>
    <row r="14" spans="1:13" ht="3" customHeight="1" x14ac:dyDescent="0.15">
      <c r="M14">
        <v>3</v>
      </c>
    </row>
    <row r="15" spans="1:13" ht="29.25" customHeight="1" x14ac:dyDescent="0.15">
      <c r="E15" s="1" t="s">
        <v>2014</v>
      </c>
      <c r="F15" s="1"/>
      <c r="G15" s="1"/>
      <c r="H15" s="1"/>
      <c r="M15">
        <v>28</v>
      </c>
    </row>
    <row r="16" spans="1:13" ht="14.25" hidden="1" customHeight="1" x14ac:dyDescent="0.15">
      <c r="A16" t="s">
        <v>84</v>
      </c>
      <c r="B16">
        <v>0</v>
      </c>
      <c r="C16">
        <v>3</v>
      </c>
      <c r="D16">
        <v>6</v>
      </c>
      <c r="E16">
        <v>22</v>
      </c>
      <c r="F16">
        <v>15</v>
      </c>
      <c r="G16">
        <v>14</v>
      </c>
      <c r="H16">
        <v>47</v>
      </c>
      <c r="I16">
        <v>115</v>
      </c>
      <c r="J16">
        <v>3</v>
      </c>
      <c r="K16">
        <v>8</v>
      </c>
      <c r="L16">
        <v>8</v>
      </c>
      <c r="M16">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x14ac:dyDescent="0.15"/>
  <cols>
    <col min="1" max="2" width="9.140625" hidden="1"/>
    <col min="3" max="3" width="3" customWidth="1"/>
    <col min="4" max="4" width="6" customWidth="1"/>
    <col min="5" max="5" width="94" customWidth="1"/>
    <col min="6" max="9" width="8" customWidth="1"/>
    <col min="10" max="10" width="9.140625" hidden="1"/>
  </cols>
  <sheetData>
    <row r="1" spans="1:10" ht="14.25" hidden="1" customHeight="1" x14ac:dyDescent="0.15">
      <c r="J1" t="s">
        <v>14</v>
      </c>
    </row>
    <row r="2" spans="1:10" ht="14.25" hidden="1" customHeight="1" x14ac:dyDescent="0.15">
      <c r="J2">
        <v>0</v>
      </c>
    </row>
    <row r="3" spans="1:10" ht="14.25" hidden="1" customHeight="1" x14ac:dyDescent="0.15">
      <c r="J3">
        <v>0</v>
      </c>
    </row>
    <row r="4" spans="1:10" ht="14.25" hidden="1" customHeight="1" x14ac:dyDescent="0.15">
      <c r="J4">
        <v>0</v>
      </c>
    </row>
    <row r="5" spans="1:10" ht="14.25" hidden="1" customHeight="1" x14ac:dyDescent="0.15">
      <c r="J5">
        <v>0</v>
      </c>
    </row>
    <row r="6" spans="1:10" ht="3" customHeight="1" x14ac:dyDescent="0.15">
      <c r="J6">
        <v>3</v>
      </c>
    </row>
    <row r="7" spans="1:10" ht="23.25" customHeight="1" x14ac:dyDescent="0.15">
      <c r="D7" s="1" t="s">
        <v>2015</v>
      </c>
      <c r="E7" s="1"/>
      <c r="J7">
        <v>22</v>
      </c>
    </row>
    <row r="8" spans="1:10" ht="3" customHeight="1" x14ac:dyDescent="0.15">
      <c r="J8">
        <v>3</v>
      </c>
    </row>
    <row r="9" spans="1:10" ht="16.899999999999999" customHeight="1" x14ac:dyDescent="0.15">
      <c r="D9" t="s">
        <v>90</v>
      </c>
      <c r="E9" t="s">
        <v>2016</v>
      </c>
      <c r="J9">
        <v>16</v>
      </c>
    </row>
    <row r="10" spans="1:10" ht="1.1499999999999999" customHeight="1" x14ac:dyDescent="0.15">
      <c r="J10">
        <v>1</v>
      </c>
    </row>
    <row r="11" spans="1:10" ht="11.25" hidden="1" customHeight="1" x14ac:dyDescent="0.15">
      <c r="D11">
        <v>0</v>
      </c>
      <c r="J11">
        <v>0</v>
      </c>
    </row>
    <row r="12" spans="1:10" ht="69.95" customHeight="1" x14ac:dyDescent="0.15">
      <c r="D12">
        <v>1</v>
      </c>
      <c r="E12" t="s">
        <v>2017</v>
      </c>
      <c r="J12">
        <v>15</v>
      </c>
    </row>
    <row r="13" spans="1:10" ht="12.75" customHeight="1" x14ac:dyDescent="0.15">
      <c r="E13" t="s">
        <v>2018</v>
      </c>
      <c r="J13">
        <v>12</v>
      </c>
    </row>
    <row r="14" spans="1:10" ht="3" customHeight="1" x14ac:dyDescent="0.15">
      <c r="J14">
        <v>3</v>
      </c>
    </row>
    <row r="15" spans="1:10" ht="23.25" customHeight="1" x14ac:dyDescent="0.15">
      <c r="D15" s="1" t="s">
        <v>2019</v>
      </c>
      <c r="E15" s="1"/>
      <c r="J15">
        <v>22</v>
      </c>
    </row>
    <row r="16" spans="1:10" ht="14.25" hidden="1" customHeight="1" x14ac:dyDescent="0.15">
      <c r="A16" t="s">
        <v>84</v>
      </c>
      <c r="B16">
        <v>0</v>
      </c>
      <c r="C16">
        <v>3</v>
      </c>
      <c r="D16">
        <v>6</v>
      </c>
      <c r="E16">
        <v>94</v>
      </c>
      <c r="F16">
        <v>8</v>
      </c>
      <c r="G16">
        <v>8</v>
      </c>
      <c r="H16">
        <v>8</v>
      </c>
      <c r="I16">
        <v>8</v>
      </c>
      <c r="J1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x14ac:dyDescent="0.15"/>
  <cols>
    <col min="1" max="2" width="9.140625" hidden="1"/>
    <col min="3" max="3" width="3" customWidth="1"/>
    <col min="4" max="4" width="6" customWidth="1"/>
    <col min="5" max="5" width="94" customWidth="1"/>
    <col min="6" max="12" width="8" customWidth="1"/>
    <col min="13" max="13" width="9.140625" hidden="1"/>
  </cols>
  <sheetData>
    <row r="1" spans="1:13" ht="14.25" hidden="1" customHeight="1" x14ac:dyDescent="0.15">
      <c r="M1" t="s">
        <v>14</v>
      </c>
    </row>
    <row r="2" spans="1:13" ht="14.25" hidden="1" customHeight="1" x14ac:dyDescent="0.15">
      <c r="M2">
        <v>0</v>
      </c>
    </row>
    <row r="3" spans="1:13" ht="14.25" hidden="1" customHeight="1" x14ac:dyDescent="0.15">
      <c r="M3">
        <v>0</v>
      </c>
    </row>
    <row r="4" spans="1:13" ht="14.25" hidden="1" customHeight="1" x14ac:dyDescent="0.15">
      <c r="M4">
        <v>0</v>
      </c>
    </row>
    <row r="5" spans="1:13" ht="14.25" hidden="1" customHeight="1" x14ac:dyDescent="0.15">
      <c r="M5">
        <v>0</v>
      </c>
    </row>
    <row r="6" spans="1:13" ht="3" customHeight="1" x14ac:dyDescent="0.15">
      <c r="M6">
        <v>3</v>
      </c>
    </row>
    <row r="7" spans="1:13" ht="23.25" customHeight="1" x14ac:dyDescent="0.15">
      <c r="D7" s="1" t="s">
        <v>2020</v>
      </c>
      <c r="E7" s="1"/>
      <c r="M7">
        <v>22</v>
      </c>
    </row>
    <row r="8" spans="1:13" ht="3" customHeight="1" x14ac:dyDescent="0.15">
      <c r="M8">
        <v>3</v>
      </c>
    </row>
    <row r="9" spans="1:13" ht="16.899999999999999" customHeight="1" x14ac:dyDescent="0.15">
      <c r="D9" t="s">
        <v>90</v>
      </c>
      <c r="E9" t="s">
        <v>405</v>
      </c>
      <c r="M9">
        <v>16</v>
      </c>
    </row>
    <row r="10" spans="1:13" ht="12.75" customHeight="1" x14ac:dyDescent="0.15">
      <c r="D10" t="s">
        <v>101</v>
      </c>
      <c r="E10" t="s">
        <v>105</v>
      </c>
      <c r="M10">
        <v>12</v>
      </c>
    </row>
    <row r="11" spans="1:13" ht="15" hidden="1" customHeight="1" x14ac:dyDescent="0.15">
      <c r="D11">
        <v>0</v>
      </c>
      <c r="M11">
        <v>0</v>
      </c>
    </row>
    <row r="12" spans="1:13" ht="14.65" customHeight="1" x14ac:dyDescent="0.15">
      <c r="E12" t="s">
        <v>2018</v>
      </c>
      <c r="M12">
        <v>14</v>
      </c>
    </row>
    <row r="13" spans="1:13" ht="14.25" hidden="1" customHeight="1" x14ac:dyDescent="0.15">
      <c r="A13" t="s">
        <v>84</v>
      </c>
      <c r="B13">
        <v>0</v>
      </c>
      <c r="C13">
        <v>3</v>
      </c>
      <c r="D13">
        <v>6</v>
      </c>
      <c r="E13">
        <v>94</v>
      </c>
      <c r="F13">
        <v>8</v>
      </c>
      <c r="G13">
        <v>8</v>
      </c>
      <c r="H13">
        <v>8</v>
      </c>
      <c r="I13">
        <v>8</v>
      </c>
      <c r="J13">
        <v>8</v>
      </c>
      <c r="K13">
        <v>8</v>
      </c>
      <c r="L13">
        <v>8</v>
      </c>
      <c r="M13">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x14ac:dyDescent="0.15"/>
  <cols>
    <col min="1" max="1" width="1.7109375" customWidth="1"/>
    <col min="2" max="2" width="34.5703125" customWidth="1"/>
    <col min="3" max="3" width="85" customWidth="1"/>
    <col min="4" max="4" width="17" customWidth="1"/>
    <col min="5" max="5" width="8" customWidth="1"/>
    <col min="6" max="6" width="9.140625" hidden="1"/>
  </cols>
  <sheetData>
    <row r="1" spans="1:6" ht="3" customHeight="1" x14ac:dyDescent="0.15">
      <c r="F1" t="s">
        <v>14</v>
      </c>
    </row>
    <row r="2" spans="1:6" ht="22.5" customHeight="1" x14ac:dyDescent="0.15">
      <c r="B2" s="1" t="s">
        <v>2021</v>
      </c>
      <c r="C2" s="1"/>
      <c r="D2" s="1"/>
      <c r="F2">
        <v>22</v>
      </c>
    </row>
    <row r="3" spans="1:6" ht="3" customHeight="1" x14ac:dyDescent="0.15">
      <c r="F3">
        <v>3</v>
      </c>
    </row>
    <row r="4" spans="1:6" ht="23.25" customHeight="1" x14ac:dyDescent="0.15">
      <c r="B4" t="s">
        <v>2022</v>
      </c>
      <c r="C4" t="s">
        <v>2023</v>
      </c>
      <c r="D4" t="s">
        <v>2024</v>
      </c>
      <c r="F4">
        <v>22</v>
      </c>
    </row>
    <row r="5" spans="1:6" ht="11.25" hidden="1" customHeight="1" x14ac:dyDescent="0.15">
      <c r="A5" t="s">
        <v>84</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AQ215"/>
  <sheetViews>
    <sheetView showGridLines="0" zoomScale="85" workbookViewId="0"/>
  </sheetViews>
  <sheetFormatPr defaultColWidth="9.140625" defaultRowHeight="17.100000000000001" customHeight="1" x14ac:dyDescent="0.15"/>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15" ht="17.25" customHeight="1" x14ac:dyDescent="0.15">
      <c r="A2" t="s">
        <v>2025</v>
      </c>
    </row>
    <row r="4" spans="1:15" ht="15" customHeight="1" x14ac:dyDescent="0.15"/>
    <row r="6" spans="1:15" ht="17.25" customHeight="1" x14ac:dyDescent="0.15">
      <c r="A6" t="s">
        <v>2026</v>
      </c>
    </row>
    <row r="8" spans="1:15" ht="17.25" customHeight="1" x14ac:dyDescent="0.15"/>
    <row r="11" spans="1:15" ht="17.25" customHeight="1" x14ac:dyDescent="0.15">
      <c r="A11" t="s">
        <v>2027</v>
      </c>
    </row>
    <row r="13" spans="1:15" ht="15" customHeight="1" x14ac:dyDescent="0.15">
      <c r="A13" s="1">
        <v>1</v>
      </c>
      <c r="C13" t="s">
        <v>106</v>
      </c>
      <c r="E13">
        <f>A13</f>
        <v>1</v>
      </c>
      <c r="G13" t="str">
        <f>"Территория "&amp;E13</f>
        <v>Территория 1</v>
      </c>
    </row>
    <row r="14" spans="1:15" ht="15" customHeight="1" x14ac:dyDescent="0.15">
      <c r="A14" s="1"/>
      <c r="B14">
        <v>1</v>
      </c>
      <c r="E14" t="str">
        <f>A13&amp;"."&amp;B14</f>
        <v>1.1</v>
      </c>
      <c r="F14">
        <f>$F$20</f>
        <v>0</v>
      </c>
      <c r="M14" t="str">
        <f t="array" ref="M14">IF(ISERROR(MATCH(MID(N14,1,250),MID(note_ter,1,250),0)),"n","y")</f>
        <v>n</v>
      </c>
      <c r="O14" t="str">
        <f>H14&amp;"("&amp;I14&amp;")"</f>
        <v>()</v>
      </c>
    </row>
    <row r="15" spans="1:15" ht="15" customHeight="1" x14ac:dyDescent="0.15">
      <c r="A15" s="1"/>
      <c r="G15" t="s">
        <v>104</v>
      </c>
    </row>
    <row r="17" spans="1:26" ht="17.25" customHeight="1" x14ac:dyDescent="0.15">
      <c r="A17" t="s">
        <v>2028</v>
      </c>
    </row>
    <row r="19" spans="1:26" ht="15" customHeight="1" x14ac:dyDescent="0.15">
      <c r="B19">
        <v>1</v>
      </c>
      <c r="D19" t="s">
        <v>106</v>
      </c>
      <c r="F19">
        <f>$F$20</f>
        <v>0</v>
      </c>
      <c r="M19" t="str">
        <f t="array" ref="M19">IF(ISERROR(MATCH(MID(N19,1,250),MID(note_ter,1,250),0)),"n","y")</f>
        <v>n</v>
      </c>
      <c r="O19" t="str">
        <f>H19&amp;"("&amp;I19&amp;")"</f>
        <v>()</v>
      </c>
    </row>
    <row r="21" spans="1:26" ht="15" customHeight="1" x14ac:dyDescent="0.15">
      <c r="A21" t="s">
        <v>2029</v>
      </c>
    </row>
    <row r="22" spans="1:26" ht="15" customHeight="1" x14ac:dyDescent="0.15"/>
    <row r="23" spans="1:26" ht="15" customHeight="1" x14ac:dyDescent="0.15">
      <c r="C23" t="s">
        <v>106</v>
      </c>
      <c r="D23" s="1" t="s">
        <v>101</v>
      </c>
      <c r="E23" s="1"/>
      <c r="F23" s="1" t="s">
        <v>19</v>
      </c>
      <c r="G23" s="1"/>
      <c r="H23" s="1">
        <v>1</v>
      </c>
      <c r="I23" s="1" t="str">
        <f>IF(U23="","",INDEX(TERRITORY_MR_LIST,MATCH(U23,TERRITORY_LIST_ID,0)))</f>
        <v/>
      </c>
      <c r="J23" s="1" t="s">
        <v>19</v>
      </c>
      <c r="L23" t="s">
        <v>101</v>
      </c>
      <c r="Y23" t="s">
        <v>174</v>
      </c>
      <c r="Z23">
        <v>1705000</v>
      </c>
    </row>
    <row r="24" spans="1:26" ht="15" customHeight="1" x14ac:dyDescent="0.15">
      <c r="D24" s="1"/>
      <c r="E24" s="1"/>
      <c r="F24" s="1"/>
      <c r="G24" s="1"/>
      <c r="H24" s="1"/>
      <c r="I24" s="1"/>
      <c r="J24" s="1"/>
      <c r="M24" t="s">
        <v>175</v>
      </c>
    </row>
    <row r="25" spans="1:26" ht="15" customHeight="1" x14ac:dyDescent="0.15">
      <c r="D25" s="1"/>
      <c r="E25" s="1"/>
      <c r="F25" s="1"/>
      <c r="I25" t="s">
        <v>176</v>
      </c>
    </row>
    <row r="26" spans="1:26" ht="15" customHeight="1" x14ac:dyDescent="0.15"/>
    <row r="27" spans="1:26" ht="15" customHeight="1" x14ac:dyDescent="0.15">
      <c r="A27" t="s">
        <v>2030</v>
      </c>
    </row>
    <row r="28" spans="1:26" ht="15" customHeight="1" x14ac:dyDescent="0.15"/>
    <row r="29" spans="1:26" ht="15" customHeight="1" x14ac:dyDescent="0.15">
      <c r="G29" s="1" t="s">
        <v>106</v>
      </c>
      <c r="H29" s="1">
        <v>1</v>
      </c>
      <c r="I29" s="1" t="str">
        <f>IF(U29="","",INDEX(TERRITORY_MR_LIST,MATCH(U29,TERRITORY_LIST_ID,0)))</f>
        <v/>
      </c>
      <c r="J29" s="1" t="s">
        <v>19</v>
      </c>
      <c r="L29" t="s">
        <v>101</v>
      </c>
      <c r="Y29" t="s">
        <v>174</v>
      </c>
      <c r="Z29">
        <v>1705000</v>
      </c>
    </row>
    <row r="30" spans="1:26" ht="15" customHeight="1" x14ac:dyDescent="0.15">
      <c r="G30" s="1"/>
      <c r="H30" s="1"/>
      <c r="I30" s="1"/>
      <c r="J30" s="1"/>
      <c r="M30" t="s">
        <v>175</v>
      </c>
    </row>
    <row r="31" spans="1:26" ht="15" customHeight="1" x14ac:dyDescent="0.15"/>
    <row r="32" spans="1:26" ht="15" customHeight="1" x14ac:dyDescent="0.15">
      <c r="A32" t="s">
        <v>2031</v>
      </c>
    </row>
    <row r="33" spans="1:26" ht="15" customHeight="1" x14ac:dyDescent="0.15"/>
    <row r="34" spans="1:26" ht="15" customHeight="1" x14ac:dyDescent="0.15">
      <c r="K34" t="s">
        <v>106</v>
      </c>
      <c r="L34" t="s">
        <v>101</v>
      </c>
      <c r="Y34" t="s">
        <v>174</v>
      </c>
      <c r="Z34">
        <v>1705000</v>
      </c>
    </row>
    <row r="35" spans="1:26" ht="15" customHeight="1" x14ac:dyDescent="0.15"/>
    <row r="36" spans="1:26" ht="15" customHeight="1" x14ac:dyDescent="0.15"/>
    <row r="37" spans="1:26" ht="11.25" customHeight="1" x14ac:dyDescent="0.15">
      <c r="A37" t="s">
        <v>2032</v>
      </c>
    </row>
    <row r="38" spans="1:26" ht="11.25" customHeight="1" x14ac:dyDescent="0.15"/>
    <row r="39" spans="1:26" ht="22.5" customHeight="1" x14ac:dyDescent="0.15"/>
    <row r="40" spans="1:26" ht="11.25" customHeight="1" x14ac:dyDescent="0.15"/>
    <row r="41" spans="1:26" ht="11.25" customHeight="1" x14ac:dyDescent="0.15">
      <c r="A41" t="s">
        <v>2033</v>
      </c>
    </row>
    <row r="42" spans="1:26" ht="11.25" customHeight="1" x14ac:dyDescent="0.15"/>
    <row r="43" spans="1:26" ht="22.5" customHeight="1" x14ac:dyDescent="0.15"/>
    <row r="44" spans="1:26" ht="11.25" customHeight="1" x14ac:dyDescent="0.15"/>
    <row r="45" spans="1:26" ht="11.25" customHeight="1" x14ac:dyDescent="0.15">
      <c r="A45" t="s">
        <v>2034</v>
      </c>
    </row>
    <row r="46" spans="1:26" ht="11.25" customHeight="1" x14ac:dyDescent="0.15"/>
    <row r="47" spans="1:26" ht="24" customHeight="1" x14ac:dyDescent="0.15">
      <c r="A47" s="1" t="s">
        <v>431</v>
      </c>
      <c r="C47" s="1"/>
      <c r="D47" t="str">
        <f>A47</f>
        <v>5.1</v>
      </c>
      <c r="E47" t="s">
        <v>432</v>
      </c>
      <c r="F47" t="s">
        <v>424</v>
      </c>
      <c r="G47" t="s">
        <v>433</v>
      </c>
    </row>
    <row r="48" spans="1:26" ht="22.5" customHeight="1" x14ac:dyDescent="0.15">
      <c r="A48" s="1"/>
      <c r="C48" s="1"/>
      <c r="D48" t="str">
        <f>D47&amp;".1"</f>
        <v>5.1.1</v>
      </c>
      <c r="E48" t="s">
        <v>434</v>
      </c>
      <c r="F48" t="s">
        <v>28</v>
      </c>
    </row>
    <row r="49" spans="1:43" ht="22.5" customHeight="1" x14ac:dyDescent="0.15">
      <c r="A49" s="1"/>
      <c r="C49" s="1"/>
      <c r="D49" t="str">
        <f>D47&amp;".2"</f>
        <v>5.1.2</v>
      </c>
      <c r="E49" t="s">
        <v>435</v>
      </c>
      <c r="F49" t="s">
        <v>28</v>
      </c>
      <c r="G49" t="s">
        <v>436</v>
      </c>
    </row>
    <row r="50" spans="1:43" ht="22.5" customHeight="1" x14ac:dyDescent="0.15">
      <c r="A50" s="1"/>
      <c r="C50" s="1"/>
      <c r="D50" t="str">
        <f>D47&amp;".3"</f>
        <v>5.1.3</v>
      </c>
      <c r="E50" t="s">
        <v>437</v>
      </c>
      <c r="F50" t="s">
        <v>28</v>
      </c>
    </row>
    <row r="51" spans="1:43" ht="22.5" customHeight="1" x14ac:dyDescent="0.15">
      <c r="A51" s="1"/>
      <c r="C51" s="1"/>
      <c r="D51" t="str">
        <f>D47&amp;".4"</f>
        <v>5.1.4</v>
      </c>
      <c r="E51" t="s">
        <v>438</v>
      </c>
      <c r="F51" t="s">
        <v>28</v>
      </c>
      <c r="G51" t="s">
        <v>439</v>
      </c>
    </row>
    <row r="54" spans="1:43" ht="17.25" customHeight="1" x14ac:dyDescent="0.15">
      <c r="A54" t="s">
        <v>2035</v>
      </c>
    </row>
    <row r="56" spans="1:43" ht="18.75" customHeight="1" x14ac:dyDescent="0.15">
      <c r="F56">
        <v>13</v>
      </c>
      <c r="J56" t="s">
        <v>63</v>
      </c>
      <c r="K56" t="s">
        <v>28</v>
      </c>
      <c r="P56" t="s">
        <v>510</v>
      </c>
      <c r="Q56" t="s">
        <v>511</v>
      </c>
      <c r="R56" t="s">
        <v>512</v>
      </c>
      <c r="S56" t="s">
        <v>513</v>
      </c>
    </row>
    <row r="58" spans="1:43" ht="11.25" customHeight="1" x14ac:dyDescent="0.15">
      <c r="A58" t="s">
        <v>2036</v>
      </c>
    </row>
    <row r="60" spans="1:43" ht="14.25" customHeight="1" x14ac:dyDescent="0.15">
      <c r="E60" t="s">
        <v>28</v>
      </c>
      <c r="AP60" t="s">
        <v>499</v>
      </c>
      <c r="AQ60" t="s">
        <v>499</v>
      </c>
    </row>
    <row r="62" spans="1:43" ht="11.25" customHeight="1" x14ac:dyDescent="0.15">
      <c r="A62" t="s">
        <v>2037</v>
      </c>
    </row>
    <row r="64" spans="1:43" ht="15" customHeight="1" x14ac:dyDescent="0.15">
      <c r="A64" t="s">
        <v>92</v>
      </c>
      <c r="B64" t="s">
        <v>28</v>
      </c>
    </row>
    <row r="66" spans="1:30" ht="11.25" customHeight="1" x14ac:dyDescent="0.15">
      <c r="A66" t="s">
        <v>2038</v>
      </c>
    </row>
    <row r="68" spans="1:30" ht="14.25" customHeight="1" x14ac:dyDescent="0.15"/>
    <row r="70" spans="1:30" ht="11.25" customHeight="1" x14ac:dyDescent="0.15">
      <c r="A70" t="s">
        <v>2039</v>
      </c>
    </row>
    <row r="72" spans="1:30" ht="27" customHeight="1" x14ac:dyDescent="0.15">
      <c r="F72" s="1"/>
      <c r="G72" s="1"/>
      <c r="H72" s="1" t="s">
        <v>63</v>
      </c>
      <c r="I72" s="1"/>
      <c r="J72" s="1"/>
      <c r="K72" s="1"/>
      <c r="L72" s="1"/>
      <c r="M72" s="1"/>
      <c r="N72" s="1"/>
      <c r="O72" s="1"/>
      <c r="P72" s="1" t="e">
        <f>DATEDIF(DATEVALUE(N72),DATEVALUE(O72),"y")&amp;"г. "&amp;DATEDIF(DATEVALUE(N72),DATEVALUE(O72),"ym")&amp;"мес. "&amp;DATEVALUE(O72)-DATE(YEAR(DATEVALUE(O72)),MONTH(DATEVALUE(O72)),1)&amp;"дн. "</f>
        <v>#VALUE!</v>
      </c>
      <c r="Q72" s="1"/>
      <c r="R72" s="1"/>
      <c r="S72" s="1"/>
      <c r="T72" s="1"/>
      <c r="U72" s="1"/>
      <c r="V72" s="1"/>
      <c r="W72" s="1"/>
      <c r="X72" s="1"/>
      <c r="Y72" s="1" t="s">
        <v>63</v>
      </c>
      <c r="AA72">
        <v>1</v>
      </c>
      <c r="AD72" t="s">
        <v>2040</v>
      </c>
    </row>
    <row r="73" spans="1:30" ht="10.5" customHeight="1" x14ac:dyDescent="0.15">
      <c r="F73" s="1"/>
      <c r="G73" s="1"/>
      <c r="H73" s="1"/>
      <c r="I73" s="1"/>
      <c r="J73" s="1"/>
      <c r="K73" s="1"/>
      <c r="L73" s="1"/>
      <c r="M73" s="1"/>
      <c r="N73" s="1"/>
      <c r="O73" s="1"/>
      <c r="P73" s="1"/>
      <c r="Q73" s="1"/>
      <c r="R73" s="1"/>
      <c r="S73" s="1"/>
      <c r="T73" s="1"/>
      <c r="U73" s="1"/>
      <c r="V73" s="1"/>
      <c r="W73" s="1"/>
      <c r="X73" s="1"/>
      <c r="Y73" s="1"/>
      <c r="AB73" t="s">
        <v>2041</v>
      </c>
    </row>
    <row r="75" spans="1:30" ht="11.25" customHeight="1" x14ac:dyDescent="0.15">
      <c r="A75" t="s">
        <v>2042</v>
      </c>
    </row>
    <row r="77" spans="1:30" ht="27" customHeight="1" x14ac:dyDescent="0.15">
      <c r="AA77">
        <v>1</v>
      </c>
      <c r="AD77" t="s">
        <v>2040</v>
      </c>
    </row>
    <row r="79" spans="1:30" ht="11.25" customHeight="1" x14ac:dyDescent="0.15">
      <c r="A79" t="s">
        <v>2043</v>
      </c>
    </row>
    <row r="80" spans="1:30" ht="17.25" customHeight="1" x14ac:dyDescent="0.15"/>
    <row r="81" spans="1:37" ht="21" customHeight="1" x14ac:dyDescent="0.15">
      <c r="F81" t="e">
        <f>INDEX(IP_MAIN_LIST_NAME_IP,MATCH(A81,IP_MAIN_LIST_IP_ID,0))&amp;" ("&amp;INDEX(IP_MAIN_START_DATE,MATCH(A81,IP_MAIN_LIST_IP_ID,0))&amp;"-"&amp;INDEX(IP_MAIN_END_DATE,MATCH(A81,IP_MAIN_LIST_IP_ID,0))&amp;")"</f>
        <v>#N/A</v>
      </c>
    </row>
    <row r="82" spans="1:37" ht="0.75" customHeight="1" x14ac:dyDescent="0.15">
      <c r="F82" s="1"/>
      <c r="G82" s="1"/>
      <c r="H82" s="1" t="s">
        <v>494</v>
      </c>
      <c r="I82" s="1"/>
      <c r="J82" s="1"/>
      <c r="K82" s="1"/>
      <c r="L82" s="1"/>
      <c r="M82" s="1"/>
      <c r="AF82" s="1"/>
      <c r="AG82" s="1"/>
      <c r="AH82" s="1"/>
      <c r="AI82" s="1"/>
      <c r="AJ82" s="1"/>
      <c r="AK82" s="1"/>
    </row>
    <row r="83" spans="1:37" ht="0.75" customHeight="1" x14ac:dyDescent="0.15">
      <c r="F83" s="1"/>
      <c r="G83" s="1"/>
      <c r="H83" s="1"/>
      <c r="I83" s="1"/>
      <c r="J83" s="1"/>
      <c r="K83" s="1"/>
      <c r="L83" s="1"/>
      <c r="M83" s="1"/>
      <c r="N83" s="1"/>
      <c r="O83" s="1"/>
      <c r="P83" s="1"/>
      <c r="Q83" s="1"/>
      <c r="R83" s="1"/>
      <c r="S83" s="1"/>
      <c r="T83" s="1"/>
      <c r="U83" s="1"/>
      <c r="V83" s="1"/>
      <c r="W83" s="1"/>
      <c r="X83" s="1"/>
      <c r="Y83" s="1"/>
      <c r="AF83" s="1"/>
      <c r="AG83" s="1"/>
      <c r="AH83" s="1"/>
      <c r="AI83" s="1"/>
      <c r="AJ83" s="1"/>
      <c r="AK83" s="1"/>
    </row>
    <row r="84" spans="1:37" ht="0.75" customHeight="1" x14ac:dyDescent="0.15">
      <c r="F84" s="1"/>
      <c r="G84" s="1"/>
      <c r="H84" s="1"/>
      <c r="I84" s="1"/>
      <c r="J84" s="1"/>
      <c r="K84" s="1"/>
      <c r="L84" s="1"/>
      <c r="M84" s="1"/>
      <c r="N84" s="1"/>
      <c r="O84" s="1"/>
      <c r="P84" s="1"/>
      <c r="Q84" s="1"/>
      <c r="R84" s="1"/>
      <c r="S84" s="1"/>
      <c r="T84" s="1"/>
      <c r="U84" s="1"/>
      <c r="V84" s="1"/>
      <c r="W84" s="1"/>
      <c r="X84" s="1"/>
      <c r="Y84" s="1"/>
      <c r="AF84" s="1"/>
      <c r="AG84" s="1"/>
      <c r="AH84" s="1"/>
      <c r="AI84" s="1"/>
      <c r="AJ84" s="1"/>
      <c r="AK84" s="1"/>
    </row>
    <row r="85" spans="1:37" ht="0.75" customHeight="1" x14ac:dyDescent="0.15">
      <c r="F85" s="1"/>
      <c r="G85" s="1"/>
      <c r="H85" s="1"/>
      <c r="I85" s="1"/>
      <c r="J85" s="1"/>
      <c r="K85" s="1"/>
      <c r="L85" s="1"/>
      <c r="M85" s="1"/>
      <c r="N85" s="1"/>
      <c r="O85" s="1"/>
      <c r="P85" s="1"/>
      <c r="Q85" s="1"/>
      <c r="R85" s="1"/>
      <c r="S85" s="1"/>
      <c r="T85" s="1"/>
      <c r="U85" s="1"/>
      <c r="V85" s="1"/>
      <c r="W85" s="1"/>
      <c r="X85" s="1"/>
      <c r="Y85" s="1"/>
      <c r="AF85" s="1"/>
      <c r="AG85" s="1"/>
      <c r="AH85" s="1"/>
      <c r="AI85" s="1"/>
      <c r="AJ85" s="1"/>
      <c r="AK85" s="1"/>
    </row>
    <row r="86" spans="1:37" ht="0.75" customHeight="1" x14ac:dyDescent="0.15">
      <c r="F86" s="1"/>
      <c r="G86" s="1"/>
      <c r="H86" s="1"/>
      <c r="I86" s="1"/>
      <c r="J86" s="1"/>
      <c r="K86" s="1"/>
      <c r="L86" s="1"/>
      <c r="M86" s="1"/>
      <c r="AF86" s="1"/>
      <c r="AG86" s="1"/>
      <c r="AH86" s="1"/>
      <c r="AI86" s="1"/>
      <c r="AJ86" s="1"/>
      <c r="AK86" s="1"/>
    </row>
    <row r="87" spans="1:37" ht="12" customHeight="1" x14ac:dyDescent="0.15">
      <c r="F87" s="1"/>
      <c r="I87" s="1" t="s">
        <v>2044</v>
      </c>
      <c r="J87" s="1"/>
      <c r="K87" s="1"/>
    </row>
    <row r="89" spans="1:37" ht="11.25" customHeight="1" x14ac:dyDescent="0.15">
      <c r="A89" t="s">
        <v>2045</v>
      </c>
    </row>
    <row r="91" spans="1:37" ht="11.25" customHeight="1" x14ac:dyDescent="0.15">
      <c r="N91" s="1"/>
      <c r="O91" s="1">
        <v>1</v>
      </c>
      <c r="P91" s="1" t="s">
        <v>19</v>
      </c>
      <c r="Q91" s="1" t="s">
        <v>28</v>
      </c>
      <c r="R91" s="1" t="s">
        <v>28</v>
      </c>
      <c r="S91" s="1" t="s">
        <v>28</v>
      </c>
      <c r="T91" s="1" t="s">
        <v>28</v>
      </c>
      <c r="U91" s="1" t="s">
        <v>28</v>
      </c>
      <c r="V91" s="1" t="s">
        <v>28</v>
      </c>
      <c r="W91" s="1" t="s">
        <v>28</v>
      </c>
      <c r="X91" s="1" t="s">
        <v>28</v>
      </c>
      <c r="Y91" s="1"/>
    </row>
    <row r="92" spans="1:37" ht="11.25" customHeight="1" x14ac:dyDescent="0.15">
      <c r="N92" s="1"/>
      <c r="O92" s="1"/>
      <c r="P92" s="1"/>
      <c r="Q92" s="1"/>
      <c r="R92" s="1"/>
      <c r="S92" s="1"/>
      <c r="T92" s="1"/>
      <c r="U92" s="1"/>
      <c r="V92" s="1"/>
      <c r="W92" s="1"/>
      <c r="X92" s="1"/>
      <c r="Y92" s="1"/>
      <c r="AA92">
        <v>1</v>
      </c>
      <c r="AD92">
        <f>AB92</f>
        <v>0</v>
      </c>
    </row>
    <row r="93" spans="1:37" ht="11.25" customHeight="1" x14ac:dyDescent="0.15">
      <c r="N93" s="1"/>
      <c r="O93" s="1"/>
      <c r="P93" s="1"/>
      <c r="Q93" s="1"/>
      <c r="R93" s="1"/>
      <c r="S93" s="1"/>
      <c r="T93" s="1"/>
      <c r="U93" s="1"/>
      <c r="V93" s="1"/>
      <c r="W93" s="1"/>
      <c r="X93" s="1"/>
      <c r="Y93" s="1"/>
      <c r="AB93" t="s">
        <v>2046</v>
      </c>
    </row>
    <row r="95" spans="1:37" ht="11.25" customHeight="1" x14ac:dyDescent="0.15">
      <c r="A95" t="s">
        <v>2047</v>
      </c>
    </row>
    <row r="97" spans="1:37" ht="11.25" customHeight="1" x14ac:dyDescent="0.15">
      <c r="AA97">
        <v>1</v>
      </c>
      <c r="AD97">
        <f>AB97</f>
        <v>0</v>
      </c>
    </row>
    <row r="99" spans="1:37" ht="11.25" customHeight="1" x14ac:dyDescent="0.15">
      <c r="A99" t="s">
        <v>2048</v>
      </c>
    </row>
    <row r="101" spans="1:37" ht="11.25" customHeight="1" x14ac:dyDescent="0.15">
      <c r="H101" s="1" t="s">
        <v>101</v>
      </c>
      <c r="I101" s="1"/>
      <c r="J101" s="1"/>
      <c r="K101" s="1"/>
      <c r="L101" s="1" t="s">
        <v>19</v>
      </c>
      <c r="M101" s="1"/>
      <c r="O101" t="s">
        <v>494</v>
      </c>
      <c r="AF101" s="1"/>
      <c r="AG101" s="1"/>
      <c r="AH101" s="1"/>
      <c r="AI101" s="1"/>
      <c r="AJ101" s="1"/>
      <c r="AK101" s="1"/>
    </row>
    <row r="102" spans="1:37" ht="11.25" customHeight="1" x14ac:dyDescent="0.15">
      <c r="H102" s="1"/>
      <c r="I102" s="1"/>
      <c r="J102" s="1"/>
      <c r="K102" s="1"/>
      <c r="L102" s="1"/>
      <c r="M102" s="1"/>
      <c r="N102" s="1"/>
      <c r="O102" s="1">
        <v>1</v>
      </c>
      <c r="P102" s="1" t="s">
        <v>19</v>
      </c>
      <c r="Q102" s="1" t="s">
        <v>28</v>
      </c>
      <c r="R102" s="1" t="s">
        <v>28</v>
      </c>
      <c r="S102" s="1" t="s">
        <v>28</v>
      </c>
      <c r="T102" s="1" t="s">
        <v>28</v>
      </c>
      <c r="U102" s="1" t="s">
        <v>28</v>
      </c>
      <c r="V102" s="1" t="s">
        <v>28</v>
      </c>
      <c r="W102" s="1" t="s">
        <v>28</v>
      </c>
      <c r="X102" s="1" t="s">
        <v>28</v>
      </c>
      <c r="Y102" s="1"/>
      <c r="AF102" s="1"/>
      <c r="AG102" s="1"/>
      <c r="AH102" s="1"/>
      <c r="AI102" s="1"/>
      <c r="AJ102" s="1"/>
      <c r="AK102" s="1"/>
    </row>
    <row r="103" spans="1:37" ht="11.25" customHeight="1" x14ac:dyDescent="0.15">
      <c r="H103" s="1"/>
      <c r="I103" s="1"/>
      <c r="J103" s="1"/>
      <c r="K103" s="1"/>
      <c r="L103" s="1"/>
      <c r="M103" s="1"/>
      <c r="N103" s="1"/>
      <c r="O103" s="1"/>
      <c r="P103" s="1"/>
      <c r="Q103" s="1"/>
      <c r="R103" s="1"/>
      <c r="S103" s="1"/>
      <c r="T103" s="1"/>
      <c r="U103" s="1"/>
      <c r="V103" s="1"/>
      <c r="W103" s="1"/>
      <c r="X103" s="1"/>
      <c r="Y103" s="1"/>
      <c r="AA103">
        <v>1</v>
      </c>
      <c r="AD103">
        <f>AB103</f>
        <v>0</v>
      </c>
      <c r="AF103" s="1"/>
      <c r="AG103" s="1"/>
      <c r="AH103" s="1"/>
      <c r="AI103" s="1"/>
      <c r="AJ103" s="1"/>
      <c r="AK103" s="1"/>
    </row>
    <row r="104" spans="1:37" ht="11.25" customHeight="1" x14ac:dyDescent="0.15">
      <c r="H104" s="1"/>
      <c r="I104" s="1"/>
      <c r="J104" s="1"/>
      <c r="K104" s="1"/>
      <c r="L104" s="1"/>
      <c r="M104" s="1"/>
      <c r="N104" s="1"/>
      <c r="O104" s="1"/>
      <c r="P104" s="1"/>
      <c r="Q104" s="1"/>
      <c r="R104" s="1"/>
      <c r="S104" s="1"/>
      <c r="T104" s="1"/>
      <c r="U104" s="1"/>
      <c r="V104" s="1"/>
      <c r="W104" s="1"/>
      <c r="X104" s="1"/>
      <c r="Y104" s="1"/>
      <c r="AB104" t="s">
        <v>2046</v>
      </c>
      <c r="AF104" s="1"/>
      <c r="AG104" s="1"/>
      <c r="AH104" s="1"/>
      <c r="AI104" s="1"/>
      <c r="AJ104" s="1"/>
      <c r="AK104" s="1"/>
    </row>
    <row r="105" spans="1:37" ht="11.25" customHeight="1" x14ac:dyDescent="0.15">
      <c r="H105" s="1"/>
      <c r="I105" s="1"/>
      <c r="J105" s="1"/>
      <c r="K105" s="1"/>
      <c r="L105" s="1"/>
      <c r="M105" s="1"/>
      <c r="P105" t="s">
        <v>2049</v>
      </c>
      <c r="AF105" s="1"/>
      <c r="AG105" s="1"/>
      <c r="AH105" s="1"/>
      <c r="AI105" s="1"/>
      <c r="AJ105" s="1"/>
      <c r="AK105" s="1"/>
    </row>
    <row r="107" spans="1:37" ht="11.25" customHeight="1" x14ac:dyDescent="0.15">
      <c r="A107" t="s">
        <v>2050</v>
      </c>
    </row>
    <row r="108" spans="1:37" ht="17.25" customHeight="1" x14ac:dyDescent="0.15"/>
    <row r="109" spans="1:37" ht="21" customHeight="1" x14ac:dyDescent="0.15">
      <c r="E109" t="s">
        <v>28</v>
      </c>
      <c r="F109" t="e">
        <f>INDEX(IP_MAIN_LIST_NAME_IP,MATCH(A109,IP_MAIN_LIST_IP_ID,0))&amp;" ("&amp;INDEX(IP_MAIN_START_DATE,MATCH(A109,IP_MAIN_LIST_IP_ID,0))&amp;"-"&amp;INDEX(IP_MAIN_END_DATE,MATCH(A109,IP_MAIN_LIST_IP_ID,0))&amp;")"</f>
        <v>#N/A</v>
      </c>
    </row>
    <row r="110" spans="1:37" ht="24.75" customHeight="1" x14ac:dyDescent="0.15">
      <c r="F110">
        <v>1</v>
      </c>
    </row>
    <row r="111" spans="1:37" ht="12" customHeight="1" x14ac:dyDescent="0.15">
      <c r="G111" t="s">
        <v>2051</v>
      </c>
    </row>
    <row r="113" spans="1:34" ht="11.25" customHeight="1" x14ac:dyDescent="0.15">
      <c r="A113" t="s">
        <v>2052</v>
      </c>
    </row>
    <row r="115" spans="1:34" ht="15" customHeight="1" x14ac:dyDescent="0.15">
      <c r="D115" s="1" t="s">
        <v>101</v>
      </c>
      <c r="E115" s="1" t="s">
        <v>165</v>
      </c>
      <c r="F115" s="1"/>
      <c r="G115" s="1"/>
      <c r="H115" s="1" t="str">
        <f>IF(A115="","",INDEX(DIFFERENTIATION_UNMERGE_VD,MATCH(A115,DIFFERENTIATION_ID_DIFF,0)))</f>
        <v/>
      </c>
      <c r="I115" s="1"/>
      <c r="J115" s="1"/>
      <c r="K115" s="1"/>
      <c r="L115" s="1"/>
      <c r="M115" s="1"/>
      <c r="N115" s="1"/>
      <c r="O115" s="1"/>
      <c r="P115" s="1"/>
      <c r="Q115" s="1"/>
      <c r="R115" s="1"/>
      <c r="AC115" s="1"/>
      <c r="AE115" t="s">
        <v>28</v>
      </c>
      <c r="AG115" t="s">
        <v>726</v>
      </c>
      <c r="AH115">
        <v>3</v>
      </c>
    </row>
    <row r="116" spans="1:34" ht="15" customHeight="1" x14ac:dyDescent="0.15">
      <c r="D116" s="1"/>
      <c r="E116" s="1" t="s">
        <v>681</v>
      </c>
      <c r="F116" s="1"/>
      <c r="G116" s="1"/>
      <c r="H116" s="1" t="str">
        <f>IF(A115="","",INDEX(DIFFERENTIATION_UNMERGE_AREA,MATCH(A115,DIFFERENTIATION_ID_DIFF,0)))</f>
        <v/>
      </c>
      <c r="I116" s="1"/>
      <c r="J116" s="1"/>
      <c r="K116" s="1"/>
      <c r="L116" s="1"/>
      <c r="M116" s="1"/>
      <c r="N116" s="1"/>
      <c r="O116" s="1"/>
      <c r="P116" s="1"/>
      <c r="Q116" s="1"/>
      <c r="R116" s="1"/>
      <c r="AC116" s="1"/>
    </row>
    <row r="117" spans="1:34" ht="15" customHeight="1" x14ac:dyDescent="0.15">
      <c r="D117" s="1"/>
      <c r="E117" s="1" t="s">
        <v>682</v>
      </c>
      <c r="F117" s="1"/>
      <c r="G117" s="1"/>
      <c r="H117" s="1" t="str">
        <f>IF(A115="","",INDEX(DIFFERENTIATION_UNMERGE_SYSTEM,MATCH(A115,DIFFERENTIATION_ID_DIFF,0)))</f>
        <v/>
      </c>
      <c r="I117" s="1"/>
      <c r="J117" s="1"/>
      <c r="K117" s="1"/>
      <c r="L117" s="1"/>
      <c r="M117" s="1"/>
      <c r="N117" s="1"/>
      <c r="O117" s="1"/>
      <c r="P117" s="1"/>
      <c r="Q117" s="1"/>
      <c r="R117" s="1"/>
      <c r="AC117" s="1"/>
    </row>
    <row r="118" spans="1:34" ht="24.75" customHeight="1" x14ac:dyDescent="0.15">
      <c r="D118" s="1"/>
      <c r="E118" s="1" t="s">
        <v>727</v>
      </c>
      <c r="F118" s="1"/>
      <c r="G118" s="1"/>
      <c r="H118" s="1"/>
      <c r="I118" s="1"/>
      <c r="J118" s="1"/>
      <c r="K118" s="1"/>
      <c r="L118" s="1"/>
      <c r="M118" s="1"/>
      <c r="N118" s="1"/>
      <c r="O118" s="1"/>
      <c r="P118" s="1"/>
      <c r="Q118">
        <f>SUMIF(T119:T120,"i",Q119:Q120)</f>
        <v>0</v>
      </c>
      <c r="S118" t="s">
        <v>728</v>
      </c>
      <c r="T118" t="s">
        <v>729</v>
      </c>
      <c r="U118" s="1">
        <v>1</v>
      </c>
      <c r="V118" s="1" t="s">
        <v>692</v>
      </c>
      <c r="AC118" s="1"/>
    </row>
    <row r="119" spans="1:34" ht="11.25" hidden="1" customHeight="1" x14ac:dyDescent="0.15">
      <c r="D119" s="1"/>
      <c r="F119">
        <v>0</v>
      </c>
      <c r="U119" s="1"/>
      <c r="V119" s="1"/>
      <c r="AC119" s="1"/>
    </row>
    <row r="120" spans="1:34" ht="11.25" customHeight="1" x14ac:dyDescent="0.15">
      <c r="D120" s="1"/>
      <c r="E120" t="s">
        <v>28</v>
      </c>
      <c r="F120" t="s">
        <v>28</v>
      </c>
      <c r="G120" t="s">
        <v>2053</v>
      </c>
      <c r="H120" t="s">
        <v>28</v>
      </c>
      <c r="U120" s="1"/>
      <c r="V120" s="1"/>
      <c r="AC120" s="1"/>
    </row>
    <row r="121" spans="1:34" ht="24.75" customHeight="1" x14ac:dyDescent="0.15">
      <c r="D121" s="1"/>
      <c r="E121" s="1" t="s">
        <v>730</v>
      </c>
      <c r="F121" s="1"/>
      <c r="G121" s="1"/>
      <c r="H121" s="1"/>
      <c r="I121" s="1"/>
      <c r="J121" s="1"/>
      <c r="K121" s="1"/>
      <c r="L121" s="1"/>
      <c r="M121" s="1"/>
      <c r="N121" s="1"/>
      <c r="O121" s="1"/>
      <c r="P121" s="1"/>
      <c r="Q121">
        <f>SUMIF(T122:T123,"i",Q122:Q123)</f>
        <v>0</v>
      </c>
      <c r="S121" t="s">
        <v>731</v>
      </c>
      <c r="T121" t="s">
        <v>729</v>
      </c>
      <c r="U121" s="1">
        <v>1</v>
      </c>
      <c r="V121" s="1" t="s">
        <v>692</v>
      </c>
    </row>
    <row r="122" spans="1:34" ht="11.25" hidden="1" customHeight="1" x14ac:dyDescent="0.15">
      <c r="D122" s="1"/>
      <c r="F122">
        <v>0</v>
      </c>
      <c r="U122" s="1"/>
      <c r="V122" s="1"/>
    </row>
    <row r="123" spans="1:34" ht="11.25" customHeight="1" x14ac:dyDescent="0.15">
      <c r="D123" s="1"/>
      <c r="E123" t="s">
        <v>28</v>
      </c>
      <c r="F123" t="s">
        <v>28</v>
      </c>
      <c r="G123" t="s">
        <v>2053</v>
      </c>
      <c r="H123" t="s">
        <v>28</v>
      </c>
      <c r="U123" s="1"/>
      <c r="V123" s="1"/>
    </row>
    <row r="125" spans="1:34" ht="11.25" customHeight="1" x14ac:dyDescent="0.15">
      <c r="A125" t="s">
        <v>2054</v>
      </c>
    </row>
    <row r="127" spans="1:34" ht="15" customHeight="1" x14ac:dyDescent="0.15">
      <c r="D127" s="1" t="s">
        <v>101</v>
      </c>
      <c r="E127" s="1" t="s">
        <v>165</v>
      </c>
      <c r="F127" s="1"/>
      <c r="G127" s="1"/>
      <c r="H127" s="1" t="str">
        <f>IF(A127="","",INDEX(DIFFERENTIATION_UNMERGE_VD,MATCH(A127,DIFFERENTIATION_ID_DIFF,0)))</f>
        <v/>
      </c>
      <c r="I127" s="1"/>
      <c r="J127" s="1"/>
      <c r="K127" s="1"/>
      <c r="L127" s="1"/>
      <c r="M127" s="1"/>
      <c r="N127" s="1"/>
      <c r="O127" s="1"/>
      <c r="P127" s="1"/>
      <c r="Q127" s="1"/>
      <c r="R127" s="1"/>
      <c r="AC127" s="1"/>
      <c r="AE127" t="s">
        <v>28</v>
      </c>
      <c r="AG127" t="s">
        <v>726</v>
      </c>
      <c r="AH127">
        <v>3</v>
      </c>
    </row>
    <row r="128" spans="1:34" ht="15" customHeight="1" x14ac:dyDescent="0.15">
      <c r="D128" s="1"/>
      <c r="E128" s="1" t="s">
        <v>681</v>
      </c>
      <c r="F128" s="1"/>
      <c r="G128" s="1"/>
      <c r="H128" s="1" t="str">
        <f>IF(A127="","",INDEX(DIFFERENTIATION_UNMERGE_AREA,MATCH(A127,DIFFERENTIATION_ID_DIFF,0)))</f>
        <v/>
      </c>
      <c r="I128" s="1"/>
      <c r="J128" s="1"/>
      <c r="K128" s="1"/>
      <c r="L128" s="1"/>
      <c r="M128" s="1"/>
      <c r="N128" s="1"/>
      <c r="O128" s="1"/>
      <c r="P128" s="1"/>
      <c r="Q128" s="1"/>
      <c r="R128" s="1"/>
      <c r="AC128" s="1"/>
    </row>
    <row r="129" spans="1:29" ht="15" customHeight="1" x14ac:dyDescent="0.15">
      <c r="D129" s="1"/>
      <c r="E129" s="1" t="s">
        <v>682</v>
      </c>
      <c r="F129" s="1"/>
      <c r="G129" s="1"/>
      <c r="H129" s="1" t="str">
        <f>IF(A127="","",INDEX(DIFFERENTIATION_UNMERGE_SYSTEM,MATCH(A127,DIFFERENTIATION_ID_DIFF,0)))</f>
        <v/>
      </c>
      <c r="I129" s="1"/>
      <c r="J129" s="1"/>
      <c r="K129" s="1"/>
      <c r="L129" s="1"/>
      <c r="M129" s="1"/>
      <c r="N129" s="1"/>
      <c r="O129" s="1"/>
      <c r="P129" s="1"/>
      <c r="Q129" s="1"/>
      <c r="R129" s="1"/>
      <c r="AC129" s="1"/>
    </row>
    <row r="130" spans="1:29" ht="24.75" customHeight="1" x14ac:dyDescent="0.15">
      <c r="D130" s="1"/>
      <c r="E130" s="1" t="s">
        <v>727</v>
      </c>
      <c r="F130" s="1"/>
      <c r="G130" s="1"/>
      <c r="H130" s="1"/>
      <c r="I130" s="1"/>
      <c r="J130" s="1"/>
      <c r="K130" s="1"/>
      <c r="L130" s="1"/>
      <c r="M130" s="1"/>
      <c r="N130" s="1"/>
      <c r="O130" s="1"/>
      <c r="P130" s="1"/>
      <c r="Q130">
        <f>SUMIF(T131:T132,"i",Q131:Q132)</f>
        <v>0</v>
      </c>
      <c r="S130" t="s">
        <v>728</v>
      </c>
      <c r="T130" t="s">
        <v>729</v>
      </c>
      <c r="U130" s="1">
        <v>1</v>
      </c>
      <c r="V130" s="1" t="s">
        <v>692</v>
      </c>
      <c r="AC130" s="1"/>
    </row>
    <row r="131" spans="1:29" ht="11.25" hidden="1" customHeight="1" x14ac:dyDescent="0.15">
      <c r="D131" s="1"/>
      <c r="F131">
        <v>0</v>
      </c>
      <c r="U131" s="1"/>
      <c r="V131" s="1"/>
      <c r="AC131" s="1"/>
    </row>
    <row r="132" spans="1:29" ht="11.25" customHeight="1" x14ac:dyDescent="0.15">
      <c r="D132" s="1"/>
      <c r="E132" t="s">
        <v>28</v>
      </c>
      <c r="F132" t="s">
        <v>28</v>
      </c>
      <c r="G132" t="s">
        <v>2053</v>
      </c>
      <c r="H132" t="s">
        <v>28</v>
      </c>
      <c r="U132" s="1"/>
      <c r="V132" s="1"/>
      <c r="AC132" s="1"/>
    </row>
    <row r="133" spans="1:29" ht="5.25" hidden="1" customHeight="1" x14ac:dyDescent="0.15">
      <c r="D133" s="1"/>
      <c r="T133" t="s">
        <v>729</v>
      </c>
      <c r="U133" s="1">
        <v>1</v>
      </c>
      <c r="V133" s="1" t="s">
        <v>692</v>
      </c>
    </row>
    <row r="134" spans="1:29" ht="5.25" hidden="1" customHeight="1" x14ac:dyDescent="0.15">
      <c r="D134" s="1"/>
      <c r="U134" s="1"/>
      <c r="V134" s="1"/>
    </row>
    <row r="135" spans="1:29" ht="5.25" hidden="1" customHeight="1" x14ac:dyDescent="0.15">
      <c r="D135" s="1"/>
      <c r="U135" s="1"/>
      <c r="V135" s="1"/>
    </row>
    <row r="136" spans="1:29" ht="17.25" customHeight="1" x14ac:dyDescent="0.15"/>
    <row r="137" spans="1:29" ht="11.25" customHeight="1" x14ac:dyDescent="0.15">
      <c r="A137" t="s">
        <v>2055</v>
      </c>
    </row>
    <row r="139" spans="1:29" ht="45" customHeight="1" x14ac:dyDescent="0.15">
      <c r="E139" s="1"/>
      <c r="F139" s="1" t="s">
        <v>101</v>
      </c>
      <c r="G139" s="1" t="s">
        <v>28</v>
      </c>
      <c r="I139" t="s">
        <v>101</v>
      </c>
      <c r="J139" t="s">
        <v>2056</v>
      </c>
      <c r="K139" t="s">
        <v>663</v>
      </c>
      <c r="L139" s="1" t="s">
        <v>663</v>
      </c>
      <c r="M139" s="1"/>
      <c r="N139" t="s">
        <v>663</v>
      </c>
      <c r="O139" t="s">
        <v>663</v>
      </c>
      <c r="P139" t="s">
        <v>663</v>
      </c>
      <c r="Q139">
        <f>SUM(Q140:Q142)</f>
        <v>0</v>
      </c>
      <c r="R139">
        <f>IF(R136=0,0,(Q136/R136)*100)</f>
        <v>0</v>
      </c>
      <c r="S139" s="1"/>
      <c r="T139" t="s">
        <v>729</v>
      </c>
    </row>
    <row r="140" spans="1:29" ht="11.25" customHeight="1" x14ac:dyDescent="0.15">
      <c r="E140" s="1"/>
      <c r="F140" s="1"/>
      <c r="G140" s="1"/>
      <c r="H140" s="1"/>
      <c r="I140" s="1" t="s">
        <v>1138</v>
      </c>
      <c r="J140" s="1"/>
      <c r="K140" s="1"/>
      <c r="M140" t="s">
        <v>101</v>
      </c>
      <c r="R140">
        <v>0</v>
      </c>
      <c r="S140" s="1"/>
    </row>
    <row r="141" spans="1:29" ht="11.25" customHeight="1" x14ac:dyDescent="0.15">
      <c r="E141" s="1"/>
      <c r="F141" s="1"/>
      <c r="G141" s="1"/>
      <c r="H141" s="1"/>
      <c r="I141" s="1"/>
      <c r="J141" s="1"/>
      <c r="K141" s="1"/>
      <c r="N141" t="s">
        <v>2057</v>
      </c>
      <c r="S141" s="1"/>
    </row>
    <row r="142" spans="1:29" ht="11.25" customHeight="1" x14ac:dyDescent="0.15">
      <c r="E142" s="1"/>
      <c r="F142" s="1"/>
      <c r="G142" s="1"/>
      <c r="H142" t="s">
        <v>28</v>
      </c>
      <c r="J142" t="s">
        <v>2058</v>
      </c>
      <c r="S142" s="1"/>
    </row>
    <row r="147" spans="1:22" ht="11.25" customHeight="1" x14ac:dyDescent="0.15">
      <c r="H147" s="1"/>
      <c r="I147" s="1" t="s">
        <v>1138</v>
      </c>
      <c r="J147" s="1"/>
      <c r="K147" s="1"/>
      <c r="M147" t="s">
        <v>101</v>
      </c>
      <c r="R147">
        <v>0</v>
      </c>
    </row>
    <row r="148" spans="1:22" ht="11.25" customHeight="1" x14ac:dyDescent="0.15">
      <c r="H148" s="1"/>
      <c r="I148" s="1"/>
      <c r="J148" s="1"/>
      <c r="K148" s="1"/>
      <c r="N148" t="s">
        <v>2057</v>
      </c>
    </row>
    <row r="150" spans="1:22" ht="11.25" customHeight="1" x14ac:dyDescent="0.15">
      <c r="M150" t="s">
        <v>101</v>
      </c>
      <c r="R150">
        <v>0</v>
      </c>
    </row>
    <row r="152" spans="1:22" ht="17.25" customHeight="1" x14ac:dyDescent="0.15">
      <c r="A152" t="s">
        <v>2059</v>
      </c>
    </row>
    <row r="153" spans="1:22" ht="17.25" customHeight="1" x14ac:dyDescent="0.15"/>
    <row r="154" spans="1:22" ht="17.25" customHeight="1" x14ac:dyDescent="0.15">
      <c r="D154" s="1"/>
      <c r="E154" s="1"/>
      <c r="F154" s="1"/>
      <c r="G154" s="1"/>
      <c r="H154" s="1"/>
      <c r="I154" s="1">
        <v>1</v>
      </c>
      <c r="J154" s="1"/>
      <c r="K154" s="1" t="s">
        <v>63</v>
      </c>
      <c r="L154" s="1"/>
      <c r="M154" s="1" t="s">
        <v>101</v>
      </c>
      <c r="N154" s="1" t="str">
        <f>IF(Z154="","",INDEX(TERRITORY_MR_LIST,MATCH(Z154,TERRITORY_LIST_ID,0)))</f>
        <v/>
      </c>
      <c r="O154" s="1" t="s">
        <v>63</v>
      </c>
      <c r="P154" s="1"/>
      <c r="Q154" s="1" t="s">
        <v>101</v>
      </c>
      <c r="R154" s="1" t="s">
        <v>28</v>
      </c>
      <c r="S154" s="1" t="s">
        <v>63</v>
      </c>
      <c r="U154" t="s">
        <v>101</v>
      </c>
      <c r="V154" t="s">
        <v>28</v>
      </c>
    </row>
    <row r="155" spans="1:22" ht="17.25" customHeight="1" x14ac:dyDescent="0.15">
      <c r="D155" s="1"/>
      <c r="E155" s="1"/>
      <c r="F155" s="1"/>
      <c r="G155" s="1"/>
      <c r="H155" s="1"/>
      <c r="I155" s="1"/>
      <c r="J155" s="1"/>
      <c r="K155" s="1"/>
      <c r="L155" s="1"/>
      <c r="M155" s="1"/>
      <c r="N155" s="1"/>
      <c r="O155" s="1"/>
      <c r="P155" s="1"/>
      <c r="Q155" s="1"/>
      <c r="R155" s="1"/>
      <c r="S155" s="1"/>
      <c r="V155" t="s">
        <v>532</v>
      </c>
    </row>
    <row r="156" spans="1:22" ht="17.25" customHeight="1" x14ac:dyDescent="0.15">
      <c r="D156" s="1"/>
      <c r="E156" s="1"/>
      <c r="F156" s="1"/>
      <c r="G156" s="1"/>
      <c r="H156" s="1"/>
      <c r="I156" s="1"/>
      <c r="J156" s="1"/>
      <c r="K156" s="1"/>
      <c r="L156" s="1"/>
      <c r="M156" s="1"/>
      <c r="N156" s="1"/>
      <c r="O156" s="1"/>
      <c r="R156" t="s">
        <v>321</v>
      </c>
    </row>
    <row r="157" spans="1:22" ht="17.25" customHeight="1" x14ac:dyDescent="0.15">
      <c r="D157" s="1"/>
      <c r="E157" s="1"/>
      <c r="F157" s="1"/>
      <c r="G157" s="1"/>
      <c r="H157" s="1"/>
      <c r="I157" s="1"/>
      <c r="J157" s="1"/>
      <c r="K157" s="1"/>
      <c r="N157" t="s">
        <v>385</v>
      </c>
    </row>
    <row r="158" spans="1:22" ht="17.25" customHeight="1" x14ac:dyDescent="0.15">
      <c r="D158" s="1"/>
      <c r="E158" s="1"/>
      <c r="F158" s="1"/>
      <c r="G158" s="1"/>
      <c r="J158" t="s">
        <v>386</v>
      </c>
    </row>
    <row r="159" spans="1:22" ht="17.25" customHeight="1" x14ac:dyDescent="0.15"/>
    <row r="160" spans="1:22" ht="17.25" customHeight="1" x14ac:dyDescent="0.15">
      <c r="H160" s="1"/>
      <c r="I160" s="1">
        <v>1</v>
      </c>
      <c r="J160" s="1"/>
      <c r="K160" s="1" t="s">
        <v>63</v>
      </c>
      <c r="L160" s="1"/>
      <c r="M160" s="1" t="s">
        <v>101</v>
      </c>
      <c r="N160" s="1" t="str">
        <f>IF(Z160="","",INDEX(TERRITORY_MR_LIST,MATCH(Z160,TERRITORY_LIST_ID,0)))</f>
        <v/>
      </c>
      <c r="O160" s="1" t="s">
        <v>63</v>
      </c>
      <c r="P160" s="1"/>
      <c r="Q160" s="1" t="s">
        <v>101</v>
      </c>
      <c r="R160" s="1" t="s">
        <v>28</v>
      </c>
      <c r="S160" s="1" t="s">
        <v>63</v>
      </c>
      <c r="U160" t="s">
        <v>101</v>
      </c>
      <c r="V160" t="s">
        <v>28</v>
      </c>
    </row>
    <row r="161" spans="1:23" ht="17.25" customHeight="1" x14ac:dyDescent="0.15">
      <c r="H161" s="1"/>
      <c r="I161" s="1"/>
      <c r="J161" s="1"/>
      <c r="K161" s="1"/>
      <c r="L161" s="1"/>
      <c r="M161" s="1"/>
      <c r="N161" s="1"/>
      <c r="O161" s="1"/>
      <c r="P161" s="1"/>
      <c r="Q161" s="1"/>
      <c r="R161" s="1"/>
      <c r="S161" s="1"/>
      <c r="V161" t="s">
        <v>532</v>
      </c>
    </row>
    <row r="162" spans="1:23" ht="17.25" customHeight="1" x14ac:dyDescent="0.15">
      <c r="H162" s="1"/>
      <c r="I162" s="1"/>
      <c r="J162" s="1"/>
      <c r="K162" s="1"/>
      <c r="L162" s="1"/>
      <c r="M162" s="1"/>
      <c r="N162" s="1"/>
      <c r="O162" s="1"/>
      <c r="R162" t="s">
        <v>321</v>
      </c>
    </row>
    <row r="163" spans="1:23" ht="17.25" customHeight="1" x14ac:dyDescent="0.15">
      <c r="H163" s="1"/>
      <c r="I163" s="1"/>
      <c r="J163" s="1"/>
      <c r="K163" s="1"/>
      <c r="N163" t="s">
        <v>385</v>
      </c>
    </row>
    <row r="164" spans="1:23" ht="17.25" customHeight="1" x14ac:dyDescent="0.15"/>
    <row r="165" spans="1:23" ht="17.25" customHeight="1" x14ac:dyDescent="0.15">
      <c r="L165" s="1"/>
      <c r="M165" s="1" t="s">
        <v>101</v>
      </c>
      <c r="N165" s="1" t="str">
        <f>IF(Z165="","",INDEX(TERRITORY_MR_LIST,MATCH(Z165,TERRITORY_LIST_ID,0)))</f>
        <v/>
      </c>
      <c r="O165" s="1" t="s">
        <v>63</v>
      </c>
      <c r="P165" s="1"/>
      <c r="Q165" s="1" t="s">
        <v>101</v>
      </c>
      <c r="R165" s="1" t="s">
        <v>28</v>
      </c>
      <c r="S165" s="1" t="s">
        <v>63</v>
      </c>
      <c r="U165" t="s">
        <v>101</v>
      </c>
      <c r="V165" t="s">
        <v>28</v>
      </c>
    </row>
    <row r="166" spans="1:23" ht="17.25" customHeight="1" x14ac:dyDescent="0.15">
      <c r="L166" s="1"/>
      <c r="M166" s="1"/>
      <c r="N166" s="1"/>
      <c r="O166" s="1"/>
      <c r="P166" s="1"/>
      <c r="Q166" s="1"/>
      <c r="R166" s="1"/>
      <c r="S166" s="1"/>
      <c r="V166" t="s">
        <v>532</v>
      </c>
    </row>
    <row r="167" spans="1:23" ht="17.25" customHeight="1" x14ac:dyDescent="0.15">
      <c r="L167" s="1"/>
      <c r="M167" s="1"/>
      <c r="N167" s="1"/>
      <c r="O167" s="1"/>
      <c r="R167" t="s">
        <v>321</v>
      </c>
    </row>
    <row r="168" spans="1:23" ht="17.25" customHeight="1" x14ac:dyDescent="0.15"/>
    <row r="169" spans="1:23" ht="17.25" customHeight="1" x14ac:dyDescent="0.15">
      <c r="P169" s="1"/>
      <c r="Q169" s="1" t="s">
        <v>101</v>
      </c>
      <c r="R169" s="1" t="s">
        <v>28</v>
      </c>
      <c r="S169" s="1" t="s">
        <v>63</v>
      </c>
      <c r="U169" t="s">
        <v>101</v>
      </c>
      <c r="V169" t="s">
        <v>28</v>
      </c>
    </row>
    <row r="170" spans="1:23" ht="17.25" customHeight="1" x14ac:dyDescent="0.15">
      <c r="P170" s="1"/>
      <c r="Q170" s="1"/>
      <c r="R170" s="1"/>
      <c r="S170" s="1"/>
      <c r="V170" t="s">
        <v>532</v>
      </c>
    </row>
    <row r="171" spans="1:23" ht="17.25" customHeight="1" x14ac:dyDescent="0.15"/>
    <row r="172" spans="1:23" ht="17.25" customHeight="1" x14ac:dyDescent="0.15">
      <c r="U172" t="s">
        <v>101</v>
      </c>
      <c r="V172" t="s">
        <v>28</v>
      </c>
    </row>
    <row r="174" spans="1:23" ht="17.25" customHeight="1" x14ac:dyDescent="0.15">
      <c r="A174" t="s">
        <v>2060</v>
      </c>
    </row>
    <row r="175" spans="1:23" ht="17.25" customHeight="1" x14ac:dyDescent="0.15"/>
    <row r="176" spans="1:23" ht="17.25" customHeight="1" x14ac:dyDescent="0.15">
      <c r="D176" s="1"/>
      <c r="E176" s="1"/>
      <c r="F176" s="1"/>
      <c r="G176" s="1"/>
      <c r="H176" s="1"/>
      <c r="I176" s="1">
        <v>1</v>
      </c>
      <c r="J176" s="1"/>
      <c r="K176" s="1" t="s">
        <v>63</v>
      </c>
      <c r="L176" s="1"/>
      <c r="M176" s="1" t="s">
        <v>101</v>
      </c>
      <c r="N176" s="1" t="str">
        <f>IF(Z176="","",INDEX(TERRITORY_MR_LIST,MATCH(Z176,TERRITORY_LIST_ID,0)))</f>
        <v/>
      </c>
      <c r="O176" s="1" t="s">
        <v>63</v>
      </c>
      <c r="P176" s="1"/>
      <c r="Q176" s="1" t="s">
        <v>101</v>
      </c>
      <c r="R176" s="1" t="s">
        <v>28</v>
      </c>
      <c r="S176" s="1" t="s">
        <v>19</v>
      </c>
      <c r="U176" t="s">
        <v>101</v>
      </c>
      <c r="W176" s="1"/>
    </row>
    <row r="177" spans="4:23" ht="17.25" customHeight="1" x14ac:dyDescent="0.15">
      <c r="D177" s="1"/>
      <c r="E177" s="1"/>
      <c r="F177" s="1"/>
      <c r="G177" s="1"/>
      <c r="H177" s="1"/>
      <c r="I177" s="1"/>
      <c r="J177" s="1"/>
      <c r="K177" s="1"/>
      <c r="L177" s="1"/>
      <c r="M177" s="1"/>
      <c r="N177" s="1"/>
      <c r="O177" s="1"/>
      <c r="P177" s="1"/>
      <c r="Q177" s="1"/>
      <c r="R177" s="1"/>
      <c r="S177" s="1"/>
      <c r="W177" s="1"/>
    </row>
    <row r="178" spans="4:23" ht="17.25" customHeight="1" x14ac:dyDescent="0.15">
      <c r="D178" s="1"/>
      <c r="E178" s="1"/>
      <c r="F178" s="1"/>
      <c r="G178" s="1"/>
      <c r="H178" s="1"/>
      <c r="I178" s="1"/>
      <c r="J178" s="1"/>
      <c r="K178" s="1"/>
      <c r="L178" s="1"/>
      <c r="M178" s="1"/>
      <c r="N178" s="1"/>
      <c r="O178" s="1"/>
      <c r="R178" t="s">
        <v>321</v>
      </c>
    </row>
    <row r="179" spans="4:23" ht="17.25" customHeight="1" x14ac:dyDescent="0.15">
      <c r="D179" s="1"/>
      <c r="E179" s="1"/>
      <c r="F179" s="1"/>
      <c r="G179" s="1"/>
      <c r="H179" s="1"/>
      <c r="I179" s="1"/>
      <c r="J179" s="1"/>
      <c r="K179" s="1"/>
      <c r="N179" t="s">
        <v>385</v>
      </c>
    </row>
    <row r="180" spans="4:23" ht="17.25" customHeight="1" x14ac:dyDescent="0.15">
      <c r="D180" s="1"/>
      <c r="E180" s="1"/>
      <c r="F180" s="1"/>
      <c r="G180" s="1"/>
      <c r="J180" t="s">
        <v>386</v>
      </c>
    </row>
    <row r="181" spans="4:23" ht="17.25" customHeight="1" x14ac:dyDescent="0.15"/>
    <row r="182" spans="4:23" ht="17.25" customHeight="1" x14ac:dyDescent="0.15">
      <c r="H182" s="1"/>
      <c r="I182" s="1">
        <v>1</v>
      </c>
      <c r="J182" s="1"/>
      <c r="K182" s="1" t="s">
        <v>63</v>
      </c>
      <c r="L182" s="1"/>
      <c r="M182" s="1" t="s">
        <v>101</v>
      </c>
      <c r="N182" s="1" t="str">
        <f>IF(Z182="","",INDEX(TERRITORY_MR_LIST,MATCH(Z182,TERRITORY_LIST_ID,0)))</f>
        <v/>
      </c>
      <c r="O182" s="1" t="s">
        <v>63</v>
      </c>
      <c r="P182" s="1"/>
      <c r="Q182" s="1" t="s">
        <v>101</v>
      </c>
      <c r="R182" s="1" t="s">
        <v>28</v>
      </c>
      <c r="S182" s="1" t="s">
        <v>19</v>
      </c>
      <c r="U182" t="s">
        <v>101</v>
      </c>
      <c r="W182" s="1"/>
    </row>
    <row r="183" spans="4:23" ht="17.25" customHeight="1" x14ac:dyDescent="0.15">
      <c r="H183" s="1"/>
      <c r="I183" s="1"/>
      <c r="J183" s="1"/>
      <c r="K183" s="1"/>
      <c r="L183" s="1"/>
      <c r="M183" s="1"/>
      <c r="N183" s="1"/>
      <c r="O183" s="1"/>
      <c r="P183" s="1"/>
      <c r="Q183" s="1"/>
      <c r="R183" s="1"/>
      <c r="S183" s="1"/>
      <c r="W183" s="1"/>
    </row>
    <row r="184" spans="4:23" ht="17.25" customHeight="1" x14ac:dyDescent="0.15">
      <c r="H184" s="1"/>
      <c r="I184" s="1"/>
      <c r="J184" s="1"/>
      <c r="K184" s="1"/>
      <c r="L184" s="1"/>
      <c r="M184" s="1"/>
      <c r="N184" s="1"/>
      <c r="O184" s="1"/>
      <c r="R184" t="s">
        <v>321</v>
      </c>
    </row>
    <row r="185" spans="4:23" ht="17.25" customHeight="1" x14ac:dyDescent="0.15">
      <c r="H185" s="1"/>
      <c r="I185" s="1"/>
      <c r="J185" s="1"/>
      <c r="K185" s="1"/>
      <c r="N185" t="s">
        <v>385</v>
      </c>
    </row>
    <row r="186" spans="4:23" ht="17.25" customHeight="1" x14ac:dyDescent="0.15"/>
    <row r="187" spans="4:23" ht="17.25" customHeight="1" x14ac:dyDescent="0.15">
      <c r="L187" s="1"/>
      <c r="M187" s="1" t="s">
        <v>101</v>
      </c>
      <c r="N187" s="1" t="str">
        <f>IF(Z187="","",INDEX(TERRITORY_MR_LIST,MATCH(Z187,TERRITORY_LIST_ID,0)))</f>
        <v/>
      </c>
      <c r="O187" s="1" t="s">
        <v>63</v>
      </c>
      <c r="P187" s="1"/>
      <c r="Q187" s="1" t="s">
        <v>101</v>
      </c>
      <c r="R187" s="1" t="s">
        <v>28</v>
      </c>
      <c r="S187" s="1" t="s">
        <v>19</v>
      </c>
      <c r="U187" t="s">
        <v>101</v>
      </c>
      <c r="W187" s="1"/>
    </row>
    <row r="188" spans="4:23" ht="17.25" customHeight="1" x14ac:dyDescent="0.15">
      <c r="L188" s="1"/>
      <c r="M188" s="1"/>
      <c r="N188" s="1"/>
      <c r="O188" s="1"/>
      <c r="P188" s="1"/>
      <c r="Q188" s="1"/>
      <c r="R188" s="1"/>
      <c r="S188" s="1"/>
      <c r="W188" s="1"/>
    </row>
    <row r="189" spans="4:23" ht="17.25" customHeight="1" x14ac:dyDescent="0.15">
      <c r="L189" s="1"/>
      <c r="M189" s="1"/>
      <c r="N189" s="1"/>
      <c r="O189" s="1"/>
      <c r="R189" t="s">
        <v>321</v>
      </c>
    </row>
    <row r="190" spans="4:23" ht="17.25" customHeight="1" x14ac:dyDescent="0.15"/>
    <row r="191" spans="4:23" ht="17.25" customHeight="1" x14ac:dyDescent="0.15">
      <c r="P191" s="1"/>
      <c r="Q191" s="1" t="s">
        <v>101</v>
      </c>
      <c r="R191" s="1" t="s">
        <v>28</v>
      </c>
      <c r="S191" s="1" t="s">
        <v>19</v>
      </c>
      <c r="U191" t="s">
        <v>101</v>
      </c>
      <c r="W191" s="1"/>
    </row>
    <row r="192" spans="4:23" ht="17.25" customHeight="1" x14ac:dyDescent="0.15">
      <c r="P192" s="1"/>
      <c r="Q192" s="1"/>
      <c r="R192" s="1"/>
      <c r="S192" s="1"/>
      <c r="W192" s="1"/>
    </row>
    <row r="193" spans="1:35" ht="17.25" customHeight="1" x14ac:dyDescent="0.15"/>
    <row r="194" spans="1:35" ht="16.5" customHeight="1" x14ac:dyDescent="0.15">
      <c r="D194" s="1"/>
      <c r="E194" s="1"/>
      <c r="F194" s="1"/>
      <c r="G194" s="1"/>
      <c r="H194" s="1"/>
      <c r="I194" s="1"/>
      <c r="J194" s="1"/>
      <c r="K194" s="1"/>
      <c r="L194" s="1"/>
      <c r="M194" s="1"/>
      <c r="N194" s="1"/>
      <c r="O194" s="1"/>
      <c r="P194" s="1"/>
      <c r="Q194" s="1"/>
      <c r="R194" s="1"/>
      <c r="S194" s="1"/>
    </row>
    <row r="195" spans="1:35" ht="16.5" customHeight="1" x14ac:dyDescent="0.15">
      <c r="D195" s="1"/>
      <c r="E195" s="1"/>
      <c r="F195" s="1"/>
      <c r="G195" s="1"/>
      <c r="H195" s="1"/>
      <c r="I195" s="1"/>
      <c r="J195" s="1"/>
      <c r="K195" s="1"/>
      <c r="L195" s="1"/>
      <c r="M195" s="1"/>
      <c r="N195" s="1"/>
      <c r="O195" s="1"/>
      <c r="P195" s="1"/>
      <c r="Q195" s="1"/>
      <c r="R195" s="1"/>
      <c r="S195" s="1"/>
    </row>
    <row r="196" spans="1:35" ht="17.25" customHeight="1" x14ac:dyDescent="0.15">
      <c r="D196" s="1"/>
      <c r="E196" s="1"/>
      <c r="F196" s="1"/>
      <c r="G196" s="1"/>
      <c r="H196" s="1"/>
      <c r="I196" s="1"/>
      <c r="J196" s="1"/>
      <c r="K196" s="1"/>
      <c r="L196" s="1"/>
      <c r="M196" s="1"/>
      <c r="N196" s="1"/>
      <c r="O196" s="1"/>
    </row>
    <row r="197" spans="1:35" ht="17.25" customHeight="1" x14ac:dyDescent="0.15">
      <c r="D197" s="1"/>
      <c r="E197" s="1"/>
      <c r="F197" s="1"/>
      <c r="G197" s="1"/>
      <c r="H197" s="1"/>
      <c r="I197" s="1"/>
      <c r="J197" s="1"/>
      <c r="K197" s="1"/>
    </row>
    <row r="198" spans="1:35" ht="17.25" customHeight="1" x14ac:dyDescent="0.15">
      <c r="D198" s="1"/>
      <c r="E198" s="1"/>
      <c r="F198" s="1"/>
      <c r="G198" s="1"/>
    </row>
    <row r="200" spans="1:35" ht="17.25" customHeight="1" x14ac:dyDescent="0.15">
      <c r="A200" t="s">
        <v>2061</v>
      </c>
    </row>
    <row r="201" spans="1:35" ht="17.25" customHeight="1" x14ac:dyDescent="0.15"/>
    <row r="202" spans="1:35" ht="15" customHeight="1" x14ac:dyDescent="0.15">
      <c r="D202" s="1"/>
      <c r="E202" s="1"/>
      <c r="F202" s="1"/>
      <c r="G202" s="1"/>
      <c r="I202" s="1">
        <v>1</v>
      </c>
      <c r="J202" s="1"/>
      <c r="L202" s="1" t="s">
        <v>63</v>
      </c>
      <c r="M202" s="1" t="s">
        <v>63</v>
      </c>
      <c r="O202" s="1" t="s">
        <v>101</v>
      </c>
      <c r="P202" s="1"/>
      <c r="R202" s="1" t="s">
        <v>63</v>
      </c>
      <c r="S202" s="1" t="s">
        <v>63</v>
      </c>
      <c r="U202" s="1" t="s">
        <v>101</v>
      </c>
      <c r="V202" s="1" t="str">
        <f>IF(AK202="","",INDEX(TERRITORY_MR_LIST,MATCH(AK202,TERRITORY_LIST_ID,0)))</f>
        <v/>
      </c>
      <c r="X202" s="1" t="s">
        <v>63</v>
      </c>
      <c r="Y202" s="1" t="s">
        <v>19</v>
      </c>
      <c r="AA202" s="1" t="s">
        <v>101</v>
      </c>
      <c r="AB202" s="1"/>
      <c r="AD202" s="1" t="s">
        <v>63</v>
      </c>
      <c r="AE202" s="1" t="s">
        <v>19</v>
      </c>
      <c r="AG202" t="s">
        <v>101</v>
      </c>
    </row>
    <row r="203" spans="1:35" ht="15" customHeight="1" x14ac:dyDescent="0.15">
      <c r="D203" s="1"/>
      <c r="E203" s="1"/>
      <c r="F203" s="1"/>
      <c r="G203" s="1"/>
      <c r="I203" s="1"/>
      <c r="J203" s="1"/>
      <c r="L203" s="1"/>
      <c r="M203" s="1"/>
      <c r="O203" s="1"/>
      <c r="P203" s="1"/>
      <c r="R203" s="1"/>
      <c r="S203" s="1"/>
      <c r="U203" s="1"/>
      <c r="V203" s="1"/>
      <c r="X203" s="1"/>
      <c r="Y203" s="1"/>
      <c r="AA203" s="1"/>
      <c r="AB203" s="1"/>
      <c r="AD203" s="1"/>
      <c r="AE203" s="1"/>
      <c r="AH203" s="1" t="s">
        <v>2062</v>
      </c>
      <c r="AI203" s="1"/>
    </row>
    <row r="204" spans="1:35" ht="15" customHeight="1" x14ac:dyDescent="0.15">
      <c r="D204" s="1"/>
      <c r="E204" s="1"/>
      <c r="F204" s="1"/>
      <c r="G204" s="1"/>
      <c r="I204" s="1"/>
      <c r="J204" s="1"/>
      <c r="L204" s="1"/>
      <c r="M204" s="1"/>
      <c r="O204" s="1"/>
      <c r="P204" s="1"/>
      <c r="R204" s="1"/>
      <c r="S204" s="1"/>
      <c r="U204" s="1"/>
      <c r="V204" s="1"/>
      <c r="X204" s="1"/>
      <c r="Y204" s="1"/>
      <c r="AB204" s="1" t="s">
        <v>2063</v>
      </c>
      <c r="AC204" s="1"/>
      <c r="AD204" s="1"/>
      <c r="AE204" s="1"/>
      <c r="AF204" s="1"/>
      <c r="AG204" s="1"/>
      <c r="AH204" s="1"/>
      <c r="AI204" s="1"/>
    </row>
    <row r="205" spans="1:35" ht="15" customHeight="1" x14ac:dyDescent="0.15">
      <c r="D205" s="1"/>
      <c r="E205" s="1"/>
      <c r="F205" s="1"/>
      <c r="G205" s="1"/>
      <c r="I205" s="1"/>
      <c r="J205" s="1"/>
      <c r="L205" s="1"/>
      <c r="M205" s="1"/>
      <c r="O205" s="1"/>
      <c r="P205" s="1"/>
      <c r="R205" s="1"/>
      <c r="S205" s="1"/>
      <c r="V205" s="1" t="s">
        <v>163</v>
      </c>
      <c r="W205" s="1"/>
      <c r="X205" s="1"/>
      <c r="Y205" s="1"/>
      <c r="Z205" s="1"/>
      <c r="AA205" s="1"/>
      <c r="AB205" s="1"/>
      <c r="AC205" s="1"/>
      <c r="AD205" s="1"/>
      <c r="AE205" s="1"/>
      <c r="AF205" s="1"/>
      <c r="AG205" s="1"/>
      <c r="AH205" s="1"/>
      <c r="AI205" s="1"/>
    </row>
    <row r="206" spans="1:35" ht="11.25" customHeight="1" x14ac:dyDescent="0.15">
      <c r="D206" s="1"/>
      <c r="E206" s="1"/>
      <c r="F206" s="1"/>
      <c r="G206" s="1"/>
      <c r="I206" s="1"/>
      <c r="J206" s="1"/>
      <c r="L206" s="1"/>
      <c r="M206" s="1"/>
      <c r="P206" s="1" t="s">
        <v>2064</v>
      </c>
      <c r="Q206" s="1"/>
      <c r="R206" s="1"/>
      <c r="S206" s="1"/>
      <c r="T206" s="1"/>
      <c r="U206" s="1"/>
      <c r="V206" s="1"/>
      <c r="W206" s="1"/>
      <c r="X206" s="1"/>
      <c r="Y206" s="1"/>
      <c r="Z206" s="1"/>
      <c r="AA206" s="1"/>
      <c r="AB206" s="1"/>
      <c r="AC206" s="1"/>
      <c r="AD206" s="1"/>
      <c r="AE206" s="1"/>
      <c r="AF206" s="1"/>
      <c r="AG206" s="1"/>
      <c r="AH206" s="1"/>
      <c r="AI206" s="1"/>
    </row>
    <row r="207" spans="1:35" ht="11.25" customHeight="1" x14ac:dyDescent="0.15">
      <c r="D207" s="1"/>
      <c r="E207" s="1"/>
      <c r="F207" s="1"/>
      <c r="G207" s="1"/>
      <c r="J207" s="1" t="s">
        <v>386</v>
      </c>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7.25" customHeight="1" x14ac:dyDescent="0.15"/>
    <row r="209" spans="4:35" ht="15" customHeight="1" x14ac:dyDescent="0.15">
      <c r="D209" s="1"/>
      <c r="E209" s="1"/>
      <c r="F209" s="1"/>
      <c r="G209" s="1"/>
      <c r="I209" s="1"/>
      <c r="J209" s="1"/>
      <c r="L209" s="1"/>
      <c r="M209" s="1"/>
      <c r="O209" s="1"/>
      <c r="P209" s="1"/>
      <c r="R209" s="1"/>
      <c r="S209" s="1"/>
      <c r="U209" s="1"/>
      <c r="V209" s="1"/>
      <c r="X209" s="1"/>
      <c r="Y209" s="1"/>
      <c r="AA209" s="1"/>
      <c r="AB209" s="1"/>
      <c r="AD209" s="1"/>
      <c r="AE209" s="1"/>
    </row>
    <row r="210" spans="4:35" ht="15" customHeight="1" x14ac:dyDescent="0.15">
      <c r="D210" s="1"/>
      <c r="E210" s="1"/>
      <c r="F210" s="1"/>
      <c r="G210" s="1"/>
      <c r="I210" s="1"/>
      <c r="J210" s="1"/>
      <c r="L210" s="1"/>
      <c r="M210" s="1"/>
      <c r="O210" s="1"/>
      <c r="P210" s="1"/>
      <c r="R210" s="1"/>
      <c r="S210" s="1"/>
      <c r="U210" s="1"/>
      <c r="V210" s="1"/>
      <c r="X210" s="1"/>
      <c r="Y210" s="1"/>
      <c r="AA210" s="1"/>
      <c r="AB210" s="1"/>
      <c r="AD210" s="1"/>
      <c r="AE210" s="1"/>
      <c r="AH210" s="1"/>
      <c r="AI210" s="1"/>
    </row>
    <row r="211" spans="4:35" ht="15" customHeight="1" x14ac:dyDescent="0.15">
      <c r="D211" s="1"/>
      <c r="E211" s="1"/>
      <c r="F211" s="1"/>
      <c r="G211" s="1"/>
      <c r="I211" s="1"/>
      <c r="J211" s="1"/>
      <c r="L211" s="1"/>
      <c r="M211" s="1"/>
      <c r="O211" s="1"/>
      <c r="P211" s="1"/>
      <c r="R211" s="1"/>
      <c r="S211" s="1"/>
      <c r="U211" s="1"/>
      <c r="V211" s="1"/>
      <c r="X211" s="1"/>
      <c r="Y211" s="1"/>
      <c r="AB211" s="1"/>
      <c r="AC211" s="1"/>
      <c r="AD211" s="1"/>
      <c r="AE211" s="1"/>
      <c r="AF211" s="1"/>
      <c r="AG211" s="1"/>
      <c r="AH211" s="1"/>
      <c r="AI211" s="1"/>
    </row>
    <row r="212" spans="4:35" ht="15" customHeight="1" x14ac:dyDescent="0.15">
      <c r="D212" s="1"/>
      <c r="E212" s="1"/>
      <c r="F212" s="1"/>
      <c r="G212" s="1"/>
      <c r="I212" s="1"/>
      <c r="J212" s="1"/>
      <c r="L212" s="1"/>
      <c r="M212" s="1"/>
      <c r="O212" s="1"/>
      <c r="P212" s="1"/>
      <c r="R212" s="1"/>
      <c r="S212" s="1"/>
      <c r="V212" s="1"/>
      <c r="W212" s="1"/>
      <c r="X212" s="1"/>
      <c r="Y212" s="1"/>
      <c r="Z212" s="1"/>
      <c r="AA212" s="1"/>
      <c r="AB212" s="1"/>
      <c r="AC212" s="1"/>
      <c r="AD212" s="1"/>
      <c r="AE212" s="1"/>
      <c r="AF212" s="1"/>
      <c r="AG212" s="1"/>
      <c r="AH212" s="1"/>
      <c r="AI212" s="1"/>
    </row>
    <row r="213" spans="4:35" ht="11.25" customHeight="1" x14ac:dyDescent="0.15">
      <c r="D213" s="1"/>
      <c r="E213" s="1"/>
      <c r="F213" s="1"/>
      <c r="G213" s="1"/>
      <c r="I213" s="1"/>
      <c r="J213" s="1"/>
      <c r="L213" s="1"/>
      <c r="M213" s="1"/>
      <c r="P213" s="1"/>
      <c r="Q213" s="1"/>
      <c r="R213" s="1"/>
      <c r="S213" s="1"/>
      <c r="T213" s="1"/>
      <c r="U213" s="1"/>
      <c r="V213" s="1"/>
      <c r="W213" s="1"/>
      <c r="X213" s="1"/>
      <c r="Y213" s="1"/>
      <c r="Z213" s="1"/>
      <c r="AA213" s="1"/>
      <c r="AB213" s="1"/>
      <c r="AC213" s="1"/>
      <c r="AD213" s="1"/>
      <c r="AE213" s="1"/>
      <c r="AF213" s="1"/>
      <c r="AG213" s="1"/>
      <c r="AH213" s="1"/>
      <c r="AI213" s="1"/>
    </row>
    <row r="214" spans="4:35" ht="11.25" customHeight="1" x14ac:dyDescent="0.15">
      <c r="D214" s="1"/>
      <c r="E214" s="1"/>
      <c r="F214" s="1"/>
      <c r="G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4:35" ht="17.25" customHeight="1" x14ac:dyDescent="0.15"/>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x14ac:dyDescent="0.15"/>
  <cols>
    <col min="2" max="2" width="43.140625" hidden="1"/>
    <col min="4" max="8" width="36.42578125" customWidth="1"/>
  </cols>
  <sheetData>
    <row r="1" spans="1:8" ht="9" customHeight="1" x14ac:dyDescent="0.15">
      <c r="A1" t="s">
        <v>2065</v>
      </c>
      <c r="C1" t="s">
        <v>2066</v>
      </c>
      <c r="D1" t="s">
        <v>924</v>
      </c>
      <c r="E1" t="s">
        <v>970</v>
      </c>
      <c r="F1" t="s">
        <v>1023</v>
      </c>
      <c r="G1" t="s">
        <v>1010</v>
      </c>
      <c r="H1" t="s">
        <v>1740</v>
      </c>
    </row>
    <row r="2" spans="1:8" ht="9" customHeight="1" x14ac:dyDescent="0.15">
      <c r="A2" t="s">
        <v>2067</v>
      </c>
      <c r="C2" t="str">
        <f>INDEX(TEMPLATE_NUMBER_FORM_LIST,MATCH(TEMPLATE_SPHERE,TEMPLATE_SPHERE_LIST,0))</f>
        <v>10</v>
      </c>
      <c r="D2" t="s">
        <v>113</v>
      </c>
      <c r="E2" t="s">
        <v>145</v>
      </c>
      <c r="F2" t="s">
        <v>145</v>
      </c>
      <c r="G2" t="s">
        <v>145</v>
      </c>
    </row>
    <row r="3" spans="1:8" ht="63" customHeight="1" x14ac:dyDescent="0.15">
      <c r="B3" t="s">
        <v>101</v>
      </c>
      <c r="C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t="s">
        <v>2068</v>
      </c>
      <c r="E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row>
    <row r="4" spans="1:8" ht="243" customHeight="1" x14ac:dyDescent="0.15">
      <c r="A4" t="s">
        <v>2069</v>
      </c>
      <c r="B4" t="s">
        <v>105</v>
      </c>
      <c r="C4" t="str">
        <f>IF(TEMPLATE_SPHERE="HEAT",D4,IF(TEMPLATE_SPHERE="TKO",H4,E4))</f>
        <v>Форма 1. Информация об организации, осуществляющей водоотведение (общая информация)</v>
      </c>
      <c r="D4" t="s">
        <v>2070</v>
      </c>
      <c r="E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H4" t="s">
        <v>2071</v>
      </c>
    </row>
    <row r="5" spans="1:8" ht="117" customHeight="1" x14ac:dyDescent="0.15">
      <c r="A5" t="s">
        <v>2072</v>
      </c>
      <c r="B5" t="s">
        <v>92</v>
      </c>
      <c r="C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t="s">
        <v>2073</v>
      </c>
      <c r="E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H5" t="s">
        <v>2074</v>
      </c>
    </row>
    <row r="6" spans="1:8" ht="90" customHeight="1" x14ac:dyDescent="0.15">
      <c r="A6" t="s">
        <v>2075</v>
      </c>
      <c r="B6" t="s">
        <v>93</v>
      </c>
      <c r="C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row>
    <row r="7" spans="1:8" ht="45" customHeight="1" x14ac:dyDescent="0.15">
      <c r="A7" t="s">
        <v>2076</v>
      </c>
      <c r="B7" t="s">
        <v>120</v>
      </c>
      <c r="C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t="s">
        <v>2077</v>
      </c>
      <c r="E7" t="s">
        <v>2078</v>
      </c>
    </row>
    <row r="8" spans="1:8" ht="108" customHeight="1" x14ac:dyDescent="0.15">
      <c r="A8" t="s">
        <v>2079</v>
      </c>
      <c r="B8" t="s">
        <v>94</v>
      </c>
      <c r="C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t="s">
        <v>1278</v>
      </c>
      <c r="E8" t="s">
        <v>2080</v>
      </c>
    </row>
    <row r="9" spans="1:8" ht="99" customHeight="1" x14ac:dyDescent="0.15">
      <c r="A9" t="s">
        <v>2081</v>
      </c>
      <c r="C9" t="s">
        <v>2082</v>
      </c>
    </row>
    <row r="10" spans="1:8" ht="126" customHeight="1" x14ac:dyDescent="0.15">
      <c r="A10" t="s">
        <v>2083</v>
      </c>
      <c r="C10" t="s">
        <v>2084</v>
      </c>
    </row>
    <row r="11" spans="1:8" ht="108" customHeight="1" x14ac:dyDescent="0.15">
      <c r="A11" t="s">
        <v>2085</v>
      </c>
      <c r="C11" t="s">
        <v>2086</v>
      </c>
    </row>
    <row r="12" spans="1:8" ht="54" customHeight="1" x14ac:dyDescent="0.15">
      <c r="A12" t="s">
        <v>2087</v>
      </c>
      <c r="C12" t="s">
        <v>2088</v>
      </c>
    </row>
    <row r="13" spans="1:8" ht="45" customHeight="1" x14ac:dyDescent="0.15">
      <c r="A13" t="s">
        <v>2089</v>
      </c>
      <c r="C13" t="s">
        <v>2090</v>
      </c>
    </row>
    <row r="14" spans="1:8" ht="117" customHeight="1" x14ac:dyDescent="0.15">
      <c r="A14" t="s">
        <v>2091</v>
      </c>
      <c r="C14" t="s">
        <v>2092</v>
      </c>
    </row>
    <row r="15" spans="1:8" ht="117" customHeight="1" x14ac:dyDescent="0.15">
      <c r="A15" t="s">
        <v>2093</v>
      </c>
      <c r="C15" t="s">
        <v>2094</v>
      </c>
    </row>
    <row r="16" spans="1:8" ht="63" customHeight="1" x14ac:dyDescent="0.15">
      <c r="A16" t="s">
        <v>2095</v>
      </c>
      <c r="C16" t="s">
        <v>2096</v>
      </c>
    </row>
    <row r="17" spans="1:8" ht="54" customHeight="1" x14ac:dyDescent="0.15">
      <c r="A17" t="s">
        <v>2097</v>
      </c>
      <c r="C17" t="s">
        <v>2098</v>
      </c>
    </row>
    <row r="18" spans="1:8" ht="27" customHeight="1" x14ac:dyDescent="0.15">
      <c r="A18" t="s">
        <v>2099</v>
      </c>
      <c r="C18" t="s">
        <v>2100</v>
      </c>
    </row>
    <row r="19" spans="1:8" ht="54" customHeight="1" x14ac:dyDescent="0.15">
      <c r="A19" t="s">
        <v>2101</v>
      </c>
      <c r="C19" t="s">
        <v>2102</v>
      </c>
    </row>
    <row r="20" spans="1:8" ht="36" customHeight="1" x14ac:dyDescent="0.15">
      <c r="A20" t="s">
        <v>2103</v>
      </c>
      <c r="C20" t="s">
        <v>2104</v>
      </c>
    </row>
    <row r="21" spans="1:8" ht="36" customHeight="1" x14ac:dyDescent="0.15">
      <c r="A21" t="s">
        <v>2105</v>
      </c>
      <c r="C21" t="s">
        <v>2106</v>
      </c>
    </row>
    <row r="22" spans="1:8" ht="27" customHeight="1" x14ac:dyDescent="0.15">
      <c r="A22" t="s">
        <v>2107</v>
      </c>
      <c r="C22" t="s">
        <v>2108</v>
      </c>
    </row>
    <row r="23" spans="1:8" ht="36" customHeight="1" x14ac:dyDescent="0.15">
      <c r="A23" t="s">
        <v>2109</v>
      </c>
      <c r="C23" t="s">
        <v>2110</v>
      </c>
    </row>
    <row r="24" spans="1:8" ht="28.5" customHeight="1" x14ac:dyDescent="0.15">
      <c r="A24" t="s">
        <v>2111</v>
      </c>
      <c r="C24" t="s">
        <v>2112</v>
      </c>
    </row>
    <row r="25" spans="1:8" ht="36" customHeight="1" x14ac:dyDescent="0.15">
      <c r="A25" t="s">
        <v>2113</v>
      </c>
      <c r="C25" t="s">
        <v>2114</v>
      </c>
    </row>
    <row r="26" spans="1:8" ht="27" customHeight="1" x14ac:dyDescent="0.15">
      <c r="A26" t="s">
        <v>2115</v>
      </c>
      <c r="C26" t="s">
        <v>2116</v>
      </c>
    </row>
    <row r="27" spans="1:8" ht="36" customHeight="1" x14ac:dyDescent="0.15">
      <c r="A27" t="s">
        <v>2117</v>
      </c>
      <c r="C27" t="s">
        <v>2118</v>
      </c>
    </row>
    <row r="28" spans="1:8" ht="28.5" customHeight="1" x14ac:dyDescent="0.15">
      <c r="A28" t="s">
        <v>2119</v>
      </c>
      <c r="C28" t="s">
        <v>2120</v>
      </c>
    </row>
    <row r="29" spans="1:8" ht="126" customHeight="1" x14ac:dyDescent="0.15">
      <c r="A29" t="s">
        <v>2121</v>
      </c>
      <c r="B29" t="s">
        <v>1692</v>
      </c>
      <c r="C2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t="s">
        <v>2122</v>
      </c>
      <c r="E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H29" t="s">
        <v>2123</v>
      </c>
    </row>
    <row r="30" spans="1:8" ht="36" customHeight="1" x14ac:dyDescent="0.15">
      <c r="A30" t="s">
        <v>2124</v>
      </c>
      <c r="C3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t="s">
        <v>2125</v>
      </c>
      <c r="E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row>
    <row r="31" spans="1:8" ht="54" customHeight="1" x14ac:dyDescent="0.15">
      <c r="A31" t="s">
        <v>2126</v>
      </c>
      <c r="C31" t="str">
        <f>IF(TEMPLATE_SPHERE="HEAT",D31,IF(TEMPLATE_SPHERE="TKO",H31,E31))</f>
        <v>Форма 1. Информация об организации, осуществляющей водоотведение (общая информация)</v>
      </c>
      <c r="D31" t="s">
        <v>2127</v>
      </c>
      <c r="E3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row>
    <row r="32" spans="1:8" ht="198" customHeight="1" x14ac:dyDescent="0.15">
      <c r="A32" t="s">
        <v>2128</v>
      </c>
      <c r="C32" t="str">
        <f>IF(TEMPLATE_SPHERE="HEAT",D32,IF(TEMPLATE_SPHERE="TKO",H32,E32))</f>
        <v>Форма 7. Информация об инвестиционных программах организации водоотведения и отчетах об их исполнении</v>
      </c>
      <c r="D32" t="s">
        <v>2129</v>
      </c>
      <c r="E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H32" t="s">
        <v>2130</v>
      </c>
    </row>
    <row r="34" spans="2:3" ht="9" customHeight="1" x14ac:dyDescent="0.15">
      <c r="B34" t="s">
        <v>1628</v>
      </c>
      <c r="C34">
        <f>INDEX(TEMPLATE_NAME_FORM_LIST,B34,MATCH(TEMPLATE_SPHERE,TEMPLATE_SPHERE_LIST,0))</f>
        <v>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D154"/>
  <sheetViews>
    <sheetView showGridLines="0" workbookViewId="0"/>
  </sheetViews>
  <sheetFormatPr defaultColWidth="9.140625" defaultRowHeight="9" customHeight="1" x14ac:dyDescent="0.15"/>
  <cols>
    <col min="3" max="7" width="8" customWidth="1"/>
    <col min="8" max="12" width="8.5703125" customWidth="1"/>
    <col min="13" max="14" width="27.7109375" customWidth="1"/>
    <col min="15" max="19" width="5.140625" customWidth="1"/>
    <col min="20" max="24" width="27.7109375" customWidth="1"/>
    <col min="25" max="25" width="1.85546875" customWidth="1"/>
    <col min="26" max="29" width="27.7109375" customWidth="1"/>
    <col min="30" max="30" width="3.85546875" customWidth="1"/>
  </cols>
  <sheetData>
    <row r="1" spans="1:30" ht="18" customHeight="1" x14ac:dyDescent="0.15">
      <c r="C1" t="s">
        <v>2131</v>
      </c>
      <c r="H1" t="s">
        <v>2132</v>
      </c>
      <c r="M1" t="s">
        <v>2133</v>
      </c>
      <c r="N1" t="s">
        <v>2134</v>
      </c>
      <c r="O1" s="1" t="s">
        <v>2135</v>
      </c>
      <c r="P1" s="1"/>
      <c r="Q1" s="1"/>
      <c r="R1" s="1"/>
      <c r="S1" s="1"/>
      <c r="T1" s="1" t="s">
        <v>2133</v>
      </c>
      <c r="U1" s="1"/>
      <c r="V1" s="1"/>
      <c r="W1" s="1"/>
      <c r="X1" s="1"/>
      <c r="Z1" s="1" t="s">
        <v>2136</v>
      </c>
      <c r="AA1" s="1"/>
      <c r="AB1" s="1"/>
      <c r="AC1" s="1"/>
      <c r="AD1" s="1"/>
    </row>
    <row r="2" spans="1:30" ht="18" customHeight="1" x14ac:dyDescent="0.15">
      <c r="C2" t="s">
        <v>924</v>
      </c>
      <c r="D2" t="s">
        <v>970</v>
      </c>
      <c r="E2" t="s">
        <v>1023</v>
      </c>
      <c r="F2" t="s">
        <v>1010</v>
      </c>
      <c r="G2" t="s">
        <v>1740</v>
      </c>
      <c r="O2" t="s">
        <v>924</v>
      </c>
      <c r="P2" t="s">
        <v>970</v>
      </c>
      <c r="Q2" t="s">
        <v>1010</v>
      </c>
      <c r="R2" t="s">
        <v>1023</v>
      </c>
      <c r="S2" t="s">
        <v>1740</v>
      </c>
      <c r="T2" t="s">
        <v>924</v>
      </c>
      <c r="U2" t="s">
        <v>970</v>
      </c>
      <c r="V2" t="s">
        <v>1010</v>
      </c>
      <c r="W2" t="s">
        <v>1023</v>
      </c>
      <c r="X2" t="s">
        <v>1740</v>
      </c>
      <c r="Z2" t="s">
        <v>924</v>
      </c>
      <c r="AA2" t="s">
        <v>970</v>
      </c>
      <c r="AB2" t="s">
        <v>1010</v>
      </c>
      <c r="AC2" t="s">
        <v>1023</v>
      </c>
      <c r="AD2" t="s">
        <v>1740</v>
      </c>
    </row>
    <row r="3" spans="1:30" ht="162" customHeight="1" x14ac:dyDescent="0.15">
      <c r="A3" t="s">
        <v>26</v>
      </c>
      <c r="C3" s="1" t="s">
        <v>2137</v>
      </c>
      <c r="D3" s="1"/>
      <c r="E3" s="1"/>
      <c r="F3" s="1"/>
      <c r="N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Z3" t="s">
        <v>2138</v>
      </c>
      <c r="AA3" t="s">
        <v>2139</v>
      </c>
      <c r="AB3" t="s">
        <v>2140</v>
      </c>
      <c r="AC3" t="s">
        <v>2141</v>
      </c>
    </row>
    <row r="11" spans="1:30" ht="45" customHeight="1" x14ac:dyDescent="0.15">
      <c r="A11" s="1" t="s">
        <v>33</v>
      </c>
      <c r="B11">
        <v>1</v>
      </c>
      <c r="C11" s="1" t="s">
        <v>1679</v>
      </c>
      <c r="D11" s="1" t="s">
        <v>1675</v>
      </c>
      <c r="E11" s="1" t="s">
        <v>1772</v>
      </c>
      <c r="F11" s="1" t="s">
        <v>2142</v>
      </c>
      <c r="G11" s="1"/>
      <c r="H11" t="s">
        <v>2143</v>
      </c>
      <c r="M11" t="str">
        <f>IF(TEMPLATE_SPHERE="HEAT",T11,U11)</f>
        <v xml:space="preserve">Количество поданных заявлений </v>
      </c>
      <c r="N1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1" t="s">
        <v>2144</v>
      </c>
      <c r="U11" t="s">
        <v>2145</v>
      </c>
      <c r="Z11" t="s">
        <v>2146</v>
      </c>
      <c r="AA1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2" spans="1:30" ht="45" customHeight="1" x14ac:dyDescent="0.15">
      <c r="A12" s="1"/>
      <c r="B12">
        <v>2</v>
      </c>
      <c r="C12" s="1"/>
      <c r="D12" s="1"/>
      <c r="E12" s="1"/>
      <c r="F12" s="1"/>
      <c r="G12" s="1"/>
      <c r="H12" t="s">
        <v>2147</v>
      </c>
      <c r="M12" t="str">
        <f>IF(TEMPLATE_SPHERE="HEAT",T12,U12)</f>
        <v xml:space="preserve">Количество исполненных заявлений </v>
      </c>
      <c r="N1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2" t="s">
        <v>2148</v>
      </c>
      <c r="U12" t="s">
        <v>2149</v>
      </c>
      <c r="Z12" t="s">
        <v>2150</v>
      </c>
      <c r="AA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3" spans="1:30" ht="72" customHeight="1" x14ac:dyDescent="0.15">
      <c r="A13" s="1"/>
      <c r="B13">
        <v>3</v>
      </c>
      <c r="C13" s="1"/>
      <c r="D13" s="1"/>
      <c r="E13" s="1"/>
      <c r="F13" s="1"/>
      <c r="G13" s="1"/>
      <c r="H13" s="1" t="s">
        <v>2151</v>
      </c>
      <c r="M1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3" t="s">
        <v>2152</v>
      </c>
      <c r="U13" t="s">
        <v>2153</v>
      </c>
      <c r="Z13" t="s">
        <v>2154</v>
      </c>
      <c r="AA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4" spans="1:30" ht="45" customHeight="1" x14ac:dyDescent="0.15">
      <c r="A14" s="1"/>
      <c r="B14">
        <v>4</v>
      </c>
      <c r="C14" s="1"/>
      <c r="D14" s="1"/>
      <c r="E14" s="1"/>
      <c r="F14" s="1"/>
      <c r="G14" s="1"/>
      <c r="H14" s="1"/>
      <c r="M14" t="str">
        <f>IF(TEMPLATE_SPHERE="HEAT",T14,U14)</f>
        <v>Причины отказа в заключении договора о подключении (технологическом присоединении) к централизованной системе водоотведения</v>
      </c>
      <c r="N1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4" t="s">
        <v>2155</v>
      </c>
      <c r="U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Z14" t="s">
        <v>2156</v>
      </c>
      <c r="AA14" t="s">
        <v>2156</v>
      </c>
    </row>
    <row r="15" spans="1:30" ht="108" customHeight="1" x14ac:dyDescent="0.15">
      <c r="A15" s="1"/>
      <c r="B15">
        <v>5</v>
      </c>
      <c r="C15" s="1"/>
      <c r="D15" s="1"/>
      <c r="E15" s="1"/>
      <c r="F15" s="1"/>
      <c r="G15" s="1"/>
      <c r="H15" s="1" t="s">
        <v>2157</v>
      </c>
      <c r="M1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5" t="s">
        <v>2158</v>
      </c>
      <c r="U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Z15" t="s">
        <v>2159</v>
      </c>
      <c r="AA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6" spans="1:30" ht="108" customHeight="1" x14ac:dyDescent="0.15">
      <c r="B16">
        <v>6</v>
      </c>
      <c r="C16" s="1"/>
      <c r="D16" s="1"/>
      <c r="E16" s="1"/>
      <c r="F16" s="1"/>
      <c r="G16" s="1"/>
      <c r="H16" s="1"/>
      <c r="N16"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Z16" t="s">
        <v>2159</v>
      </c>
      <c r="AA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17" spans="1:29" ht="9" customHeight="1" x14ac:dyDescent="0.15">
      <c r="C17">
        <v>22</v>
      </c>
      <c r="D17">
        <v>21</v>
      </c>
      <c r="E17">
        <v>42</v>
      </c>
      <c r="F17">
        <v>63</v>
      </c>
    </row>
    <row r="18" spans="1:29" ht="27" customHeight="1" x14ac:dyDescent="0.15">
      <c r="A18" t="s">
        <v>1775</v>
      </c>
      <c r="B18">
        <v>1</v>
      </c>
      <c r="C18" t="s">
        <v>2143</v>
      </c>
      <c r="D18" t="s">
        <v>2143</v>
      </c>
      <c r="E18" t="s">
        <v>2143</v>
      </c>
      <c r="F18" t="s">
        <v>2143</v>
      </c>
      <c r="I18">
        <f t="shared" ref="I18:I49" si="1">INDEX(TEMPLATE_NUMBER_POINT_FHD,B18,MATCH(TEMPLATE_SPHERE,TEMPLATE_SPHERE_LIST_FOR_NOTE,0))</f>
        <v>1</v>
      </c>
      <c r="J18" t="str">
        <f t="shared" ref="J18:J49" si="2">INDEX(TEMPLATE_DATA_POINT_FHD,B18,MATCH(TEMPLATE_SPHERE,TEMPLATE_SPHERE_LIST_FOR_NOTE,0))</f>
        <v>Выручка от регулируемых видов деятельности в сфере водоотведения</v>
      </c>
      <c r="K18" t="str">
        <f t="shared" ref="K18:K49" si="3">INDEX(TEMPLATE_NOTE_POINT_FHD,B18,MATCH(TEMPLATE_SPHERE,TEMPLATE_SPHERE_LIST_FOR_NOTE,0))</f>
        <v>Указывается выручка с распределением по видам деятельности.</v>
      </c>
      <c r="L18">
        <f t="shared" ref="L18:L49" si="4">IF(I18=0,"",I18)</f>
        <v>1</v>
      </c>
      <c r="M18" t="str">
        <f t="shared" ref="M18:M49" si="5">IF(J18=0,"",J18)</f>
        <v>Выручка от регулируемых видов деятельности в сфере водоотведения</v>
      </c>
      <c r="N18" t="str">
        <f t="shared" ref="N18:N49" si="6">IF(K18=0,"",K18)</f>
        <v>Указывается выручка с распределением по видам деятельности.</v>
      </c>
      <c r="O18">
        <v>1</v>
      </c>
      <c r="P18">
        <v>1</v>
      </c>
      <c r="Q18">
        <v>1</v>
      </c>
      <c r="R18">
        <v>1</v>
      </c>
      <c r="T18" t="s">
        <v>2160</v>
      </c>
      <c r="U18" t="s">
        <v>2161</v>
      </c>
      <c r="V18" t="s">
        <v>2162</v>
      </c>
      <c r="W18" t="s">
        <v>2163</v>
      </c>
      <c r="Z18" t="s">
        <v>2164</v>
      </c>
      <c r="AA18" t="s">
        <v>2165</v>
      </c>
      <c r="AB18" t="s">
        <v>2165</v>
      </c>
      <c r="AC18" t="s">
        <v>2165</v>
      </c>
    </row>
    <row r="19" spans="1:29" ht="36" customHeight="1" x14ac:dyDescent="0.15">
      <c r="B19">
        <v>2</v>
      </c>
      <c r="C19" t="s">
        <v>2147</v>
      </c>
      <c r="D19" t="s">
        <v>2147</v>
      </c>
      <c r="E19" t="s">
        <v>2147</v>
      </c>
      <c r="F19" t="s">
        <v>2147</v>
      </c>
      <c r="I19">
        <f t="shared" si="1"/>
        <v>2</v>
      </c>
      <c r="J19" t="str">
        <f t="shared" si="2"/>
        <v>Себестоимость производимых товаров (оказываемых услуг) по регулируемым видам деятельности в сфере водоотведения, включая:</v>
      </c>
      <c r="K19" t="str">
        <f t="shared" si="3"/>
        <v>Указывается суммарная себестоимость производимых товаров.</v>
      </c>
      <c r="L19">
        <f t="shared" si="4"/>
        <v>2</v>
      </c>
      <c r="M19" t="str">
        <f t="shared" si="5"/>
        <v>Себестоимость производимых товаров (оказываемых услуг) по регулируемым видам деятельности в сфере водоотведения, включая:</v>
      </c>
      <c r="N19" t="str">
        <f t="shared" si="6"/>
        <v>Указывается суммарная себестоимость производимых товаров.</v>
      </c>
      <c r="O19">
        <v>2</v>
      </c>
      <c r="P19">
        <v>2</v>
      </c>
      <c r="Q19">
        <v>2</v>
      </c>
      <c r="R19">
        <v>2</v>
      </c>
      <c r="T19" t="s">
        <v>2166</v>
      </c>
      <c r="U19" t="s">
        <v>2167</v>
      </c>
      <c r="V19" t="s">
        <v>2168</v>
      </c>
      <c r="W19" t="s">
        <v>2169</v>
      </c>
      <c r="Z19" t="s">
        <v>2170</v>
      </c>
      <c r="AA19" t="s">
        <v>2170</v>
      </c>
      <c r="AB19" t="s">
        <v>2170</v>
      </c>
      <c r="AC19" t="s">
        <v>2170</v>
      </c>
    </row>
    <row r="20" spans="1:29" ht="27" customHeight="1" x14ac:dyDescent="0.15">
      <c r="B20">
        <v>3</v>
      </c>
      <c r="C20">
        <v>1</v>
      </c>
      <c r="I20" t="str">
        <f t="shared" si="1"/>
        <v>2.1</v>
      </c>
      <c r="J20" t="str">
        <f t="shared" si="2"/>
        <v>Расходы на оплату услуг по приему, транспортировке и очистке сточных вод другими организациями</v>
      </c>
      <c r="K20">
        <f t="shared" si="3"/>
        <v>0</v>
      </c>
      <c r="L20" t="str">
        <f t="shared" si="4"/>
        <v>2.1</v>
      </c>
      <c r="M20" t="str">
        <f t="shared" si="5"/>
        <v>Расходы на оплату услуг по приему, транспортировке и очистке сточных вод другими организациями</v>
      </c>
      <c r="N20" t="str">
        <f t="shared" si="6"/>
        <v/>
      </c>
      <c r="O20" t="s">
        <v>825</v>
      </c>
      <c r="P20" t="s">
        <v>825</v>
      </c>
      <c r="Q20" t="s">
        <v>825</v>
      </c>
      <c r="R20" t="s">
        <v>825</v>
      </c>
      <c r="T20" t="s">
        <v>2171</v>
      </c>
      <c r="U20" t="s">
        <v>2172</v>
      </c>
      <c r="V20" t="s">
        <v>2173</v>
      </c>
      <c r="W20" t="s">
        <v>2174</v>
      </c>
    </row>
    <row r="21" spans="1:29" ht="36" customHeight="1" x14ac:dyDescent="0.15">
      <c r="B21">
        <v>4</v>
      </c>
      <c r="C21">
        <v>2</v>
      </c>
      <c r="I21">
        <f t="shared" si="1"/>
        <v>0</v>
      </c>
      <c r="J21">
        <f t="shared" si="2"/>
        <v>0</v>
      </c>
      <c r="K21">
        <f t="shared" si="3"/>
        <v>0</v>
      </c>
      <c r="L21" t="str">
        <f t="shared" si="4"/>
        <v/>
      </c>
      <c r="M21" t="str">
        <f t="shared" si="5"/>
        <v/>
      </c>
      <c r="N21" t="str">
        <f t="shared" si="6"/>
        <v/>
      </c>
      <c r="O21" t="s">
        <v>425</v>
      </c>
      <c r="T21" t="s">
        <v>2175</v>
      </c>
      <c r="Z21" t="s">
        <v>2176</v>
      </c>
    </row>
    <row r="22" spans="1:29" ht="36" customHeight="1" x14ac:dyDescent="0.15">
      <c r="B22">
        <v>5</v>
      </c>
      <c r="C22">
        <v>3</v>
      </c>
      <c r="I22">
        <f t="shared" si="1"/>
        <v>0</v>
      </c>
      <c r="J22">
        <f t="shared" si="2"/>
        <v>0</v>
      </c>
      <c r="K22">
        <f t="shared" si="3"/>
        <v>0</v>
      </c>
      <c r="L22" t="str">
        <f t="shared" si="4"/>
        <v/>
      </c>
      <c r="M22" t="str">
        <f t="shared" si="5"/>
        <v/>
      </c>
      <c r="N22" t="str">
        <f t="shared" si="6"/>
        <v/>
      </c>
      <c r="Q22" t="s">
        <v>425</v>
      </c>
      <c r="V22" t="s">
        <v>2177</v>
      </c>
    </row>
    <row r="23" spans="1:29" ht="27" customHeight="1" x14ac:dyDescent="0.15">
      <c r="B23">
        <v>6</v>
      </c>
      <c r="C23">
        <v>4</v>
      </c>
      <c r="I23">
        <f t="shared" si="1"/>
        <v>0</v>
      </c>
      <c r="J23">
        <f t="shared" si="2"/>
        <v>0</v>
      </c>
      <c r="K23">
        <f t="shared" si="3"/>
        <v>0</v>
      </c>
      <c r="L23" t="str">
        <f t="shared" si="4"/>
        <v/>
      </c>
      <c r="M23" t="str">
        <f t="shared" si="5"/>
        <v/>
      </c>
      <c r="N23" t="str">
        <f t="shared" si="6"/>
        <v/>
      </c>
      <c r="Q23" t="s">
        <v>428</v>
      </c>
      <c r="V23" t="s">
        <v>2178</v>
      </c>
    </row>
    <row r="24" spans="1:29" ht="36" customHeight="1" x14ac:dyDescent="0.15">
      <c r="B24">
        <v>7</v>
      </c>
      <c r="C24">
        <v>5</v>
      </c>
      <c r="I24">
        <f t="shared" si="1"/>
        <v>0</v>
      </c>
      <c r="J24">
        <f t="shared" si="2"/>
        <v>0</v>
      </c>
      <c r="K24">
        <f t="shared" si="3"/>
        <v>0</v>
      </c>
      <c r="L24" t="str">
        <f t="shared" si="4"/>
        <v/>
      </c>
      <c r="M24" t="str">
        <f t="shared" si="5"/>
        <v/>
      </c>
      <c r="N24" t="str">
        <f t="shared" si="6"/>
        <v/>
      </c>
      <c r="Q24" t="s">
        <v>845</v>
      </c>
      <c r="V24" t="s">
        <v>2179</v>
      </c>
    </row>
    <row r="25" spans="1:29" ht="36" customHeight="1" x14ac:dyDescent="0.15">
      <c r="B25">
        <v>8</v>
      </c>
      <c r="C25">
        <v>6</v>
      </c>
      <c r="I25" t="str">
        <f t="shared" si="1"/>
        <v>2.2</v>
      </c>
      <c r="J25" t="str">
        <f t="shared" si="2"/>
        <v>Расходы на приобретаемую электрическую энергию (мощность), используемую в технологическом процессе</v>
      </c>
      <c r="K25">
        <f t="shared" si="3"/>
        <v>0</v>
      </c>
      <c r="L25" t="str">
        <f t="shared" si="4"/>
        <v>2.2</v>
      </c>
      <c r="M25" t="str">
        <f t="shared" si="5"/>
        <v>Расходы на приобретаемую электрическую энергию (мощность), используемую в технологическом процессе</v>
      </c>
      <c r="N25" t="str">
        <f t="shared" si="6"/>
        <v/>
      </c>
      <c r="O25" t="s">
        <v>428</v>
      </c>
      <c r="P25" t="s">
        <v>425</v>
      </c>
      <c r="Q25" t="s">
        <v>852</v>
      </c>
      <c r="R25" t="s">
        <v>425</v>
      </c>
      <c r="T25" t="s">
        <v>2180</v>
      </c>
      <c r="U25" t="s">
        <v>2180</v>
      </c>
      <c r="V25" t="s">
        <v>2180</v>
      </c>
      <c r="W25" t="s">
        <v>2180</v>
      </c>
    </row>
    <row r="26" spans="1:29" ht="18" customHeight="1" x14ac:dyDescent="0.15">
      <c r="B26">
        <v>9</v>
      </c>
      <c r="C26" t="s">
        <v>769</v>
      </c>
      <c r="I26" t="str">
        <f t="shared" si="1"/>
        <v>2.2.1</v>
      </c>
      <c r="J26" t="str">
        <f t="shared" si="2"/>
        <v>Средневзвешенная стоимость 1 кВт.ч (с учетом мощности)</v>
      </c>
      <c r="K26">
        <f t="shared" si="3"/>
        <v>0</v>
      </c>
      <c r="L26" t="str">
        <f t="shared" si="4"/>
        <v>2.2.1</v>
      </c>
      <c r="M26" t="str">
        <f t="shared" si="5"/>
        <v>Средневзвешенная стоимость 1 кВт.ч (с учетом мощности)</v>
      </c>
      <c r="N26" t="str">
        <f t="shared" si="6"/>
        <v/>
      </c>
      <c r="O26" t="s">
        <v>841</v>
      </c>
      <c r="P26" t="s">
        <v>835</v>
      </c>
      <c r="Q26" t="s">
        <v>2181</v>
      </c>
      <c r="R26" t="s">
        <v>835</v>
      </c>
      <c r="T26" t="str">
        <f>"Средневзвешенная стоимость 1 кВт.ч"&amp;IF(TITLE_TYPE_ORG="Регулируемая организация"," (с учетом мощности)","")</f>
        <v>Средневзвешенная стоимость 1 кВт.ч</v>
      </c>
      <c r="U26" t="s">
        <v>2182</v>
      </c>
      <c r="V26" t="s">
        <v>2182</v>
      </c>
      <c r="W26" t="s">
        <v>2182</v>
      </c>
    </row>
    <row r="27" spans="1:29" ht="18" customHeight="1" x14ac:dyDescent="0.15">
      <c r="B27">
        <v>10</v>
      </c>
      <c r="C27" t="s">
        <v>773</v>
      </c>
      <c r="I27" t="str">
        <f t="shared" si="1"/>
        <v>2.2.2</v>
      </c>
      <c r="J27" t="str">
        <f t="shared" si="2"/>
        <v>Объём приобретения электрической энергии</v>
      </c>
      <c r="K27">
        <f t="shared" si="3"/>
        <v>0</v>
      </c>
      <c r="L27" t="str">
        <f t="shared" si="4"/>
        <v>2.2.2</v>
      </c>
      <c r="M27" t="str">
        <f t="shared" si="5"/>
        <v>Объём приобретения электрической энергии</v>
      </c>
      <c r="N27" t="str">
        <f t="shared" si="6"/>
        <v/>
      </c>
      <c r="O27" t="s">
        <v>843</v>
      </c>
      <c r="P27" t="s">
        <v>837</v>
      </c>
      <c r="Q27" t="s">
        <v>2183</v>
      </c>
      <c r="R27" t="s">
        <v>837</v>
      </c>
      <c r="T27" t="s">
        <v>2184</v>
      </c>
      <c r="U27" t="s">
        <v>2184</v>
      </c>
      <c r="V27" t="s">
        <v>2184</v>
      </c>
      <c r="W27" t="s">
        <v>2184</v>
      </c>
    </row>
    <row r="28" spans="1:29" ht="27" customHeight="1" x14ac:dyDescent="0.15">
      <c r="B28">
        <v>11</v>
      </c>
      <c r="C28">
        <v>7</v>
      </c>
      <c r="I28">
        <f t="shared" si="1"/>
        <v>0</v>
      </c>
      <c r="J28">
        <f t="shared" si="2"/>
        <v>0</v>
      </c>
      <c r="K28">
        <f t="shared" si="3"/>
        <v>0</v>
      </c>
      <c r="L28" t="str">
        <f t="shared" si="4"/>
        <v/>
      </c>
      <c r="M28" t="str">
        <f t="shared" si="5"/>
        <v/>
      </c>
      <c r="N28" t="str">
        <f t="shared" si="6"/>
        <v/>
      </c>
      <c r="O28" t="s">
        <v>845</v>
      </c>
      <c r="T28" t="s">
        <v>2185</v>
      </c>
    </row>
    <row r="29" spans="1:29" ht="27" customHeight="1" x14ac:dyDescent="0.15">
      <c r="B29">
        <v>12</v>
      </c>
      <c r="C29">
        <v>8</v>
      </c>
      <c r="I29" t="str">
        <f t="shared" si="1"/>
        <v>2.3</v>
      </c>
      <c r="J29" t="str">
        <f t="shared" si="2"/>
        <v>Расходы на химические реагенты, используемые в технологическом процессе</v>
      </c>
      <c r="K29">
        <f t="shared" si="3"/>
        <v>0</v>
      </c>
      <c r="L29" t="str">
        <f t="shared" si="4"/>
        <v>2.3</v>
      </c>
      <c r="M29" t="str">
        <f t="shared" si="5"/>
        <v>Расходы на химические реагенты, используемые в технологическом процессе</v>
      </c>
      <c r="N29" t="str">
        <f t="shared" si="6"/>
        <v/>
      </c>
      <c r="O29" t="s">
        <v>852</v>
      </c>
      <c r="P29" t="s">
        <v>428</v>
      </c>
      <c r="R29" t="s">
        <v>428</v>
      </c>
      <c r="T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t="s">
        <v>2186</v>
      </c>
      <c r="W29" t="s">
        <v>2186</v>
      </c>
    </row>
    <row r="30" spans="1:29" ht="54" customHeight="1" x14ac:dyDescent="0.15">
      <c r="B30">
        <v>13</v>
      </c>
      <c r="C30">
        <v>9</v>
      </c>
      <c r="I30" t="str">
        <f t="shared" si="1"/>
        <v>2.4</v>
      </c>
      <c r="J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t="str">
        <f t="shared" si="3"/>
        <v>Указывается общая сумма расходов на оплату труда и отчислений на социальные нужды основного производственного персонала.</v>
      </c>
      <c r="L30" t="str">
        <f t="shared" si="4"/>
        <v>2.4</v>
      </c>
      <c r="M3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t="str">
        <f t="shared" si="6"/>
        <v>Указывается общая сумма расходов на оплату труда и отчислений на социальные нужды основного производственного персонала.</v>
      </c>
      <c r="O30" t="s">
        <v>854</v>
      </c>
      <c r="P30" t="s">
        <v>845</v>
      </c>
      <c r="Q30" t="s">
        <v>854</v>
      </c>
      <c r="R30" t="s">
        <v>845</v>
      </c>
      <c r="T30" t="s">
        <v>2187</v>
      </c>
      <c r="U30" t="s">
        <v>2187</v>
      </c>
      <c r="V30" t="s">
        <v>2187</v>
      </c>
      <c r="W30" t="s">
        <v>2187</v>
      </c>
      <c r="AA30" t="s">
        <v>2188</v>
      </c>
      <c r="AB30" t="s">
        <v>2188</v>
      </c>
      <c r="AC30" t="s">
        <v>2188</v>
      </c>
    </row>
    <row r="31" spans="1:29" ht="18" customHeight="1" x14ac:dyDescent="0.15">
      <c r="B31">
        <v>14</v>
      </c>
      <c r="C31" t="s">
        <v>2189</v>
      </c>
      <c r="I31" t="str">
        <f t="shared" si="1"/>
        <v>2.4.1</v>
      </c>
      <c r="J31" t="str">
        <f t="shared" si="2"/>
        <v>Расходы на оплату труда основного производственного персонала</v>
      </c>
      <c r="K31">
        <f t="shared" si="3"/>
        <v>0</v>
      </c>
      <c r="L31" t="str">
        <f t="shared" si="4"/>
        <v>2.4.1</v>
      </c>
      <c r="M31" t="str">
        <f t="shared" si="5"/>
        <v>Расходы на оплату труда основного производственного персонала</v>
      </c>
      <c r="N31" t="str">
        <f t="shared" si="6"/>
        <v/>
      </c>
      <c r="O31" t="s">
        <v>2190</v>
      </c>
      <c r="P31" t="s">
        <v>848</v>
      </c>
      <c r="Q31" t="s">
        <v>2190</v>
      </c>
      <c r="R31" t="s">
        <v>848</v>
      </c>
      <c r="T31" t="s">
        <v>2191</v>
      </c>
      <c r="U31" t="s">
        <v>2191</v>
      </c>
      <c r="V31" t="s">
        <v>2191</v>
      </c>
      <c r="W31" t="s">
        <v>2191</v>
      </c>
    </row>
    <row r="32" spans="1:29" ht="36" customHeight="1" x14ac:dyDescent="0.15">
      <c r="B32">
        <v>15</v>
      </c>
      <c r="C32" t="s">
        <v>2192</v>
      </c>
      <c r="I32" t="str">
        <f t="shared" si="1"/>
        <v>2.4.2</v>
      </c>
      <c r="J32" t="str">
        <f t="shared" si="2"/>
        <v>Страховые взносы на обязательное социальное страхование, выплачиваемые из фонда оплаты труда основного производственного персонала</v>
      </c>
      <c r="K32">
        <f t="shared" si="3"/>
        <v>0</v>
      </c>
      <c r="L32" t="str">
        <f t="shared" si="4"/>
        <v>2.4.2</v>
      </c>
      <c r="M32" t="str">
        <f t="shared" si="5"/>
        <v>Страховые взносы на обязательное социальное страхование, выплачиваемые из фонда оплаты труда основного производственного персонала</v>
      </c>
      <c r="N32" t="str">
        <f t="shared" si="6"/>
        <v/>
      </c>
      <c r="O32" t="s">
        <v>2193</v>
      </c>
      <c r="P32" t="s">
        <v>850</v>
      </c>
      <c r="Q32" t="s">
        <v>2193</v>
      </c>
      <c r="R32" t="s">
        <v>850</v>
      </c>
      <c r="T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t="s">
        <v>2194</v>
      </c>
      <c r="V32" t="s">
        <v>2194</v>
      </c>
      <c r="W32" t="s">
        <v>2194</v>
      </c>
    </row>
    <row r="33" spans="2:29" ht="45" customHeight="1" x14ac:dyDescent="0.15">
      <c r="B33">
        <v>16</v>
      </c>
      <c r="C33">
        <v>10</v>
      </c>
      <c r="I33" t="str">
        <f t="shared" si="1"/>
        <v>2.5</v>
      </c>
      <c r="J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t="str">
        <f t="shared" si="3"/>
        <v>Указывается общая сумма расходов на оплату труда и отчислений на социальные нужды административно-управленческого персонала.</v>
      </c>
      <c r="L33" t="str">
        <f t="shared" si="4"/>
        <v>2.5</v>
      </c>
      <c r="M3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t="str">
        <f t="shared" si="6"/>
        <v>Указывается общая сумма расходов на оплату труда и отчислений на социальные нужды административно-управленческого персонала.</v>
      </c>
      <c r="O33" t="s">
        <v>856</v>
      </c>
      <c r="P33" t="s">
        <v>852</v>
      </c>
      <c r="Q33" t="s">
        <v>856</v>
      </c>
      <c r="R33" t="s">
        <v>852</v>
      </c>
      <c r="T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t="s">
        <v>2195</v>
      </c>
      <c r="V33" t="s">
        <v>2195</v>
      </c>
      <c r="W33" t="s">
        <v>2196</v>
      </c>
      <c r="AA33" t="s">
        <v>2197</v>
      </c>
      <c r="AB33" t="s">
        <v>2197</v>
      </c>
      <c r="AC33" t="s">
        <v>2197</v>
      </c>
    </row>
    <row r="34" spans="2:29" ht="27" customHeight="1" x14ac:dyDescent="0.15">
      <c r="B34">
        <v>17</v>
      </c>
      <c r="C34" t="s">
        <v>2198</v>
      </c>
      <c r="I34" t="str">
        <f t="shared" si="1"/>
        <v>2.5.1</v>
      </c>
      <c r="J34" t="str">
        <f t="shared" si="2"/>
        <v>Расходы на оплату труда административно-управленческого персонала, в том числе:</v>
      </c>
      <c r="K34">
        <f t="shared" si="3"/>
        <v>0</v>
      </c>
      <c r="L34" t="str">
        <f t="shared" si="4"/>
        <v>2.5.1</v>
      </c>
      <c r="M34" t="str">
        <f t="shared" si="5"/>
        <v>Расходы на оплату труда административно-управленческого персонала, в том числе:</v>
      </c>
      <c r="N34" t="str">
        <f t="shared" si="6"/>
        <v/>
      </c>
      <c r="O34" t="s">
        <v>2199</v>
      </c>
      <c r="P34" t="s">
        <v>2181</v>
      </c>
      <c r="Q34" t="s">
        <v>2199</v>
      </c>
      <c r="R34" t="s">
        <v>2181</v>
      </c>
      <c r="T34" t="s">
        <v>2200</v>
      </c>
      <c r="U34" t="s">
        <v>2200</v>
      </c>
      <c r="V34" t="s">
        <v>2200</v>
      </c>
      <c r="W34" t="s">
        <v>2201</v>
      </c>
    </row>
    <row r="35" spans="2:29" ht="45" customHeight="1" x14ac:dyDescent="0.15">
      <c r="B35">
        <v>18</v>
      </c>
      <c r="C35" t="s">
        <v>2202</v>
      </c>
      <c r="I35" t="str">
        <f t="shared" si="1"/>
        <v>2.5.2</v>
      </c>
      <c r="J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f t="shared" si="3"/>
        <v>0</v>
      </c>
      <c r="L35" t="str">
        <f t="shared" si="4"/>
        <v>2.5.2</v>
      </c>
      <c r="M3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t="str">
        <f t="shared" si="6"/>
        <v/>
      </c>
      <c r="O35" t="s">
        <v>2203</v>
      </c>
      <c r="P35" t="s">
        <v>2183</v>
      </c>
      <c r="Q35" t="s">
        <v>2203</v>
      </c>
      <c r="R35" t="s">
        <v>2183</v>
      </c>
      <c r="T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t="s">
        <v>2204</v>
      </c>
      <c r="V35" t="s">
        <v>2204</v>
      </c>
      <c r="W35" t="s">
        <v>2204</v>
      </c>
    </row>
    <row r="36" spans="2:29" ht="18" customHeight="1" x14ac:dyDescent="0.15">
      <c r="B36">
        <v>19</v>
      </c>
      <c r="C36">
        <v>11</v>
      </c>
      <c r="I36" t="str">
        <f t="shared" si="1"/>
        <v>2.6</v>
      </c>
      <c r="J36" t="str">
        <f t="shared" si="2"/>
        <v>Расходы на амортизацию основных средств и нематериальных активов</v>
      </c>
      <c r="K36">
        <f t="shared" si="3"/>
        <v>0</v>
      </c>
      <c r="L36" t="str">
        <f t="shared" si="4"/>
        <v>2.6</v>
      </c>
      <c r="M36" t="str">
        <f t="shared" si="5"/>
        <v>Расходы на амортизацию основных средств и нематериальных активов</v>
      </c>
      <c r="N36" t="str">
        <f t="shared" si="6"/>
        <v/>
      </c>
      <c r="O36" t="s">
        <v>858</v>
      </c>
      <c r="P36" t="s">
        <v>854</v>
      </c>
      <c r="Q36" t="s">
        <v>858</v>
      </c>
      <c r="R36" t="s">
        <v>854</v>
      </c>
      <c r="T36" t="s">
        <v>2205</v>
      </c>
      <c r="U36" t="s">
        <v>2205</v>
      </c>
      <c r="V36" t="s">
        <v>2205</v>
      </c>
      <c r="W36" t="s">
        <v>2205</v>
      </c>
    </row>
    <row r="37" spans="2:29" ht="18" customHeight="1" x14ac:dyDescent="0.15">
      <c r="B37">
        <v>20</v>
      </c>
      <c r="C37" t="s">
        <v>2206</v>
      </c>
      <c r="I37" t="str">
        <f t="shared" si="1"/>
        <v>2.6.1</v>
      </c>
      <c r="J37" t="str">
        <f t="shared" si="2"/>
        <v>Расходы на амортизацию основных средств</v>
      </c>
      <c r="K37">
        <f t="shared" si="3"/>
        <v>0</v>
      </c>
      <c r="L37" t="str">
        <f t="shared" si="4"/>
        <v>2.6.1</v>
      </c>
      <c r="M37" t="str">
        <f t="shared" si="5"/>
        <v>Расходы на амортизацию основных средств</v>
      </c>
      <c r="N37" t="str">
        <f t="shared" si="6"/>
        <v/>
      </c>
      <c r="O37" t="s">
        <v>2207</v>
      </c>
      <c r="P37" t="s">
        <v>2190</v>
      </c>
      <c r="Q37" t="s">
        <v>2207</v>
      </c>
      <c r="R37" t="s">
        <v>2190</v>
      </c>
      <c r="T37" t="s">
        <v>2208</v>
      </c>
      <c r="U37" t="s">
        <v>2208</v>
      </c>
      <c r="V37" t="s">
        <v>2208</v>
      </c>
      <c r="W37" t="s">
        <v>2208</v>
      </c>
    </row>
    <row r="38" spans="2:29" ht="18" customHeight="1" x14ac:dyDescent="0.15">
      <c r="B38">
        <v>21</v>
      </c>
      <c r="C38" t="s">
        <v>2209</v>
      </c>
      <c r="I38" t="str">
        <f t="shared" si="1"/>
        <v>2.6.2</v>
      </c>
      <c r="J38" t="str">
        <f t="shared" si="2"/>
        <v>Расходы на амортизацию нематериальных активов</v>
      </c>
      <c r="K38">
        <f t="shared" si="3"/>
        <v>0</v>
      </c>
      <c r="L38" t="str">
        <f t="shared" si="4"/>
        <v>2.6.2</v>
      </c>
      <c r="M38" t="str">
        <f t="shared" si="5"/>
        <v>Расходы на амортизацию нематериальных активов</v>
      </c>
      <c r="N38" t="str">
        <f t="shared" si="6"/>
        <v/>
      </c>
      <c r="O38" t="s">
        <v>2210</v>
      </c>
      <c r="P38" t="s">
        <v>2193</v>
      </c>
      <c r="Q38" t="s">
        <v>2210</v>
      </c>
      <c r="R38" t="s">
        <v>2193</v>
      </c>
      <c r="T38" t="s">
        <v>2211</v>
      </c>
      <c r="U38" t="s">
        <v>2211</v>
      </c>
      <c r="V38" t="s">
        <v>2211</v>
      </c>
      <c r="W38" t="s">
        <v>2211</v>
      </c>
    </row>
    <row r="39" spans="2:29" ht="36" customHeight="1" x14ac:dyDescent="0.15">
      <c r="B39">
        <v>22</v>
      </c>
      <c r="C39">
        <v>12</v>
      </c>
      <c r="I39" t="str">
        <f t="shared" si="1"/>
        <v>2.7</v>
      </c>
      <c r="J39" t="str">
        <f t="shared" si="2"/>
        <v>Расходы на аренду имущества, используемого для осуществления регулируемых видов деятельности в сфере водоотведения</v>
      </c>
      <c r="K39">
        <f t="shared" si="3"/>
        <v>0</v>
      </c>
      <c r="L39" t="str">
        <f t="shared" si="4"/>
        <v>2.7</v>
      </c>
      <c r="M39" t="str">
        <f t="shared" si="5"/>
        <v>Расходы на аренду имущества, используемого для осуществления регулируемых видов деятельности в сфере водоотведения</v>
      </c>
      <c r="N39" t="str">
        <f t="shared" si="6"/>
        <v/>
      </c>
      <c r="O39" t="s">
        <v>862</v>
      </c>
      <c r="P39" t="s">
        <v>856</v>
      </c>
      <c r="Q39" t="s">
        <v>862</v>
      </c>
      <c r="R39" t="s">
        <v>856</v>
      </c>
      <c r="T39" t="s">
        <v>2212</v>
      </c>
      <c r="U39" t="s">
        <v>2213</v>
      </c>
      <c r="V39" t="s">
        <v>2214</v>
      </c>
      <c r="W39" t="s">
        <v>2215</v>
      </c>
    </row>
    <row r="40" spans="2:29" ht="18" customHeight="1" x14ac:dyDescent="0.15">
      <c r="B40">
        <v>23</v>
      </c>
      <c r="C40">
        <v>13</v>
      </c>
      <c r="I40" t="str">
        <f t="shared" si="1"/>
        <v>2.8</v>
      </c>
      <c r="J40" t="str">
        <f t="shared" si="2"/>
        <v>Общепроизводственные расходы, в том числе:</v>
      </c>
      <c r="K40" t="str">
        <f t="shared" si="3"/>
        <v>Указывается общая сумма общепроизводственных расходов.</v>
      </c>
      <c r="L40" t="str">
        <f t="shared" si="4"/>
        <v>2.8</v>
      </c>
      <c r="M40" t="str">
        <f t="shared" si="5"/>
        <v>Общепроизводственные расходы, в том числе:</v>
      </c>
      <c r="N40" t="str">
        <f t="shared" si="6"/>
        <v>Указывается общая сумма общепроизводственных расходов.</v>
      </c>
      <c r="O40" t="s">
        <v>2216</v>
      </c>
      <c r="P40" t="s">
        <v>858</v>
      </c>
      <c r="Q40" t="s">
        <v>2216</v>
      </c>
      <c r="R40" t="s">
        <v>858</v>
      </c>
      <c r="T40" t="s">
        <v>2217</v>
      </c>
      <c r="U40" t="s">
        <v>2217</v>
      </c>
      <c r="V40" t="s">
        <v>2217</v>
      </c>
      <c r="W40" t="s">
        <v>2217</v>
      </c>
      <c r="Z40" t="s">
        <v>2218</v>
      </c>
      <c r="AA40" t="s">
        <v>2218</v>
      </c>
      <c r="AB40" t="s">
        <v>2218</v>
      </c>
      <c r="AC40" t="s">
        <v>2218</v>
      </c>
    </row>
    <row r="41" spans="2:29" ht="27" customHeight="1" x14ac:dyDescent="0.15">
      <c r="B41">
        <v>24</v>
      </c>
      <c r="C41" t="s">
        <v>2219</v>
      </c>
      <c r="I41" t="str">
        <f t="shared" si="1"/>
        <v>2.8.1</v>
      </c>
      <c r="J41" t="str">
        <f t="shared" si="2"/>
        <v>Расходы на текущий ремонт</v>
      </c>
      <c r="K41" t="str">
        <f t="shared" si="3"/>
        <v>Указываются расходы на текущий ремонт, отнесенные к общепроизводственным расходам.</v>
      </c>
      <c r="L41" t="str">
        <f t="shared" si="4"/>
        <v>2.8.1</v>
      </c>
      <c r="M41" t="str">
        <f t="shared" si="5"/>
        <v>Расходы на текущий ремонт</v>
      </c>
      <c r="N41" t="str">
        <f t="shared" si="6"/>
        <v>Указываются расходы на текущий ремонт, отнесенные к общепроизводственным расходам.</v>
      </c>
      <c r="O41" t="s">
        <v>2220</v>
      </c>
      <c r="P41" t="s">
        <v>2207</v>
      </c>
      <c r="Q41" t="s">
        <v>2220</v>
      </c>
      <c r="R41" t="s">
        <v>2207</v>
      </c>
      <c r="T41" t="s">
        <v>2221</v>
      </c>
      <c r="U41" t="s">
        <v>2221</v>
      </c>
      <c r="V41" t="s">
        <v>2221</v>
      </c>
      <c r="W41" t="s">
        <v>2221</v>
      </c>
      <c r="Z41" t="s">
        <v>2222</v>
      </c>
      <c r="AA41" t="s">
        <v>2222</v>
      </c>
      <c r="AB41" t="s">
        <v>2222</v>
      </c>
      <c r="AC41" t="s">
        <v>2222</v>
      </c>
    </row>
    <row r="42" spans="2:29" ht="27" customHeight="1" x14ac:dyDescent="0.15">
      <c r="B42">
        <v>25</v>
      </c>
      <c r="C42" t="s">
        <v>2223</v>
      </c>
      <c r="I42" t="str">
        <f t="shared" si="1"/>
        <v>2.8.2</v>
      </c>
      <c r="J42" t="str">
        <f t="shared" si="2"/>
        <v>Расходы на капитальный ремонт</v>
      </c>
      <c r="K42" t="str">
        <f t="shared" si="3"/>
        <v>Указываются расходы на капитальный ремонт, отнесенные к общепроизводственным расходам.</v>
      </c>
      <c r="L42" t="str">
        <f t="shared" si="4"/>
        <v>2.8.2</v>
      </c>
      <c r="M42" t="str">
        <f t="shared" si="5"/>
        <v>Расходы на капитальный ремонт</v>
      </c>
      <c r="N42" t="str">
        <f t="shared" si="6"/>
        <v>Указываются расходы на капитальный ремонт, отнесенные к общепроизводственным расходам.</v>
      </c>
      <c r="O42" t="s">
        <v>2224</v>
      </c>
      <c r="P42" t="s">
        <v>2210</v>
      </c>
      <c r="Q42" t="s">
        <v>2224</v>
      </c>
      <c r="R42" t="s">
        <v>2210</v>
      </c>
      <c r="T42" t="s">
        <v>2225</v>
      </c>
      <c r="U42" t="s">
        <v>2225</v>
      </c>
      <c r="V42" t="s">
        <v>2225</v>
      </c>
      <c r="W42" t="s">
        <v>2225</v>
      </c>
      <c r="Z42" t="s">
        <v>2226</v>
      </c>
      <c r="AA42" t="s">
        <v>2226</v>
      </c>
      <c r="AB42" t="s">
        <v>2226</v>
      </c>
      <c r="AC42" t="s">
        <v>2226</v>
      </c>
    </row>
    <row r="43" spans="2:29" ht="18" customHeight="1" x14ac:dyDescent="0.15">
      <c r="B43">
        <v>26</v>
      </c>
      <c r="C43">
        <v>14</v>
      </c>
      <c r="I43" t="str">
        <f t="shared" si="1"/>
        <v>2.9</v>
      </c>
      <c r="J43" t="str">
        <f t="shared" si="2"/>
        <v>Общехозяйственные расходы, в том числе:</v>
      </c>
      <c r="K43" t="str">
        <f t="shared" si="3"/>
        <v>Указывается общая сумма общехозяйственных расходов.</v>
      </c>
      <c r="L43" t="str">
        <f t="shared" si="4"/>
        <v>2.9</v>
      </c>
      <c r="M43" t="str">
        <f t="shared" si="5"/>
        <v>Общехозяйственные расходы, в том числе:</v>
      </c>
      <c r="N43" t="str">
        <f t="shared" si="6"/>
        <v>Указывается общая сумма общехозяйственных расходов.</v>
      </c>
      <c r="O43" t="s">
        <v>2227</v>
      </c>
      <c r="P43" t="s">
        <v>862</v>
      </c>
      <c r="Q43" t="s">
        <v>2227</v>
      </c>
      <c r="R43" t="s">
        <v>862</v>
      </c>
      <c r="T43" t="s">
        <v>2228</v>
      </c>
      <c r="U43" t="s">
        <v>2228</v>
      </c>
      <c r="V43" t="s">
        <v>2228</v>
      </c>
      <c r="W43" t="s">
        <v>2228</v>
      </c>
      <c r="Z43" t="s">
        <v>2229</v>
      </c>
      <c r="AA43" t="s">
        <v>2229</v>
      </c>
      <c r="AB43" t="s">
        <v>2229</v>
      </c>
      <c r="AC43" t="s">
        <v>2229</v>
      </c>
    </row>
    <row r="44" spans="2:29" ht="27" customHeight="1" x14ac:dyDescent="0.15">
      <c r="B44">
        <v>27</v>
      </c>
      <c r="C44" t="s">
        <v>2230</v>
      </c>
      <c r="I44" t="str">
        <f t="shared" si="1"/>
        <v>2.9.1</v>
      </c>
      <c r="J44" t="str">
        <f t="shared" si="2"/>
        <v>Расходы на текущий ремонт</v>
      </c>
      <c r="K44" t="str">
        <f t="shared" si="3"/>
        <v>Указываются расходы на текущий ремонт, отнесенные к общехозяйственным расходам.</v>
      </c>
      <c r="L44" t="str">
        <f t="shared" si="4"/>
        <v>2.9.1</v>
      </c>
      <c r="M44" t="str">
        <f t="shared" si="5"/>
        <v>Расходы на текущий ремонт</v>
      </c>
      <c r="N44" t="str">
        <f t="shared" si="6"/>
        <v>Указываются расходы на текущий ремонт, отнесенные к общехозяйственным расходам.</v>
      </c>
      <c r="O44" t="s">
        <v>2231</v>
      </c>
      <c r="P44" t="s">
        <v>2232</v>
      </c>
      <c r="Q44" t="s">
        <v>2231</v>
      </c>
      <c r="R44" t="s">
        <v>2232</v>
      </c>
      <c r="T44" t="s">
        <v>2221</v>
      </c>
      <c r="U44" t="s">
        <v>2221</v>
      </c>
      <c r="V44" t="s">
        <v>2221</v>
      </c>
      <c r="W44" t="s">
        <v>2221</v>
      </c>
      <c r="Z44" t="s">
        <v>2233</v>
      </c>
      <c r="AA44" t="s">
        <v>2233</v>
      </c>
      <c r="AB44" t="s">
        <v>2233</v>
      </c>
      <c r="AC44" t="s">
        <v>2233</v>
      </c>
    </row>
    <row r="45" spans="2:29" ht="27" customHeight="1" x14ac:dyDescent="0.15">
      <c r="B45">
        <v>28</v>
      </c>
      <c r="C45" t="s">
        <v>2234</v>
      </c>
      <c r="I45" t="str">
        <f t="shared" si="1"/>
        <v>2.9.2</v>
      </c>
      <c r="J45" t="str">
        <f t="shared" si="2"/>
        <v>Расходы на капитальный ремонт</v>
      </c>
      <c r="K45" t="str">
        <f t="shared" si="3"/>
        <v>Указываются расходы на капитальный ремонт, отнесенные к общехозяйственным расходам.</v>
      </c>
      <c r="L45" t="str">
        <f t="shared" si="4"/>
        <v>2.9.2</v>
      </c>
      <c r="M45" t="str">
        <f t="shared" si="5"/>
        <v>Расходы на капитальный ремонт</v>
      </c>
      <c r="N45" t="str">
        <f t="shared" si="6"/>
        <v>Указываются расходы на капитальный ремонт, отнесенные к общехозяйственным расходам.</v>
      </c>
      <c r="O45" t="s">
        <v>2235</v>
      </c>
      <c r="P45" t="s">
        <v>2236</v>
      </c>
      <c r="Q45" t="s">
        <v>2235</v>
      </c>
      <c r="R45" t="s">
        <v>2236</v>
      </c>
      <c r="T45" t="s">
        <v>2225</v>
      </c>
      <c r="U45" t="s">
        <v>2225</v>
      </c>
      <c r="V45" t="s">
        <v>2225</v>
      </c>
      <c r="W45" t="s">
        <v>2225</v>
      </c>
      <c r="Z45" t="s">
        <v>2237</v>
      </c>
      <c r="AA45" t="s">
        <v>2237</v>
      </c>
      <c r="AB45" t="s">
        <v>2237</v>
      </c>
      <c r="AC45" t="s">
        <v>2237</v>
      </c>
    </row>
    <row r="46" spans="2:29" ht="54" customHeight="1" x14ac:dyDescent="0.15">
      <c r="B46">
        <v>29</v>
      </c>
      <c r="C46">
        <v>15</v>
      </c>
      <c r="I46" t="str">
        <f t="shared" si="1"/>
        <v>2.10</v>
      </c>
      <c r="J46" t="str">
        <f t="shared" si="2"/>
        <v>Расходы на капитальный и текущий ремонт основных средств</v>
      </c>
      <c r="K4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t="str">
        <f t="shared" si="4"/>
        <v>2.10</v>
      </c>
      <c r="M46" t="str">
        <f t="shared" si="5"/>
        <v>Расходы на капитальный и текущий ремонт основных средств</v>
      </c>
      <c r="N4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t="s">
        <v>2238</v>
      </c>
      <c r="P46" t="s">
        <v>2216</v>
      </c>
      <c r="Q46" t="s">
        <v>2238</v>
      </c>
      <c r="R46" t="s">
        <v>2216</v>
      </c>
      <c r="T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t="s">
        <v>2239</v>
      </c>
      <c r="V46" t="s">
        <v>2239</v>
      </c>
      <c r="W46" t="s">
        <v>2239</v>
      </c>
      <c r="Z46" t="s">
        <v>2240</v>
      </c>
      <c r="AA46" t="s">
        <v>2241</v>
      </c>
      <c r="AB46" t="s">
        <v>2241</v>
      </c>
      <c r="AC46" t="s">
        <v>2241</v>
      </c>
    </row>
    <row r="47" spans="2:29" ht="54" customHeight="1" x14ac:dyDescent="0.15">
      <c r="B47">
        <v>30</v>
      </c>
      <c r="C47" t="s">
        <v>2242</v>
      </c>
      <c r="I47" t="str">
        <f t="shared" si="1"/>
        <v>2.10.1</v>
      </c>
      <c r="J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f t="shared" si="3"/>
        <v>0</v>
      </c>
      <c r="L47" t="str">
        <f t="shared" si="4"/>
        <v>2.10.1</v>
      </c>
      <c r="M4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t="str">
        <f t="shared" si="6"/>
        <v/>
      </c>
      <c r="O47" t="s">
        <v>2243</v>
      </c>
      <c r="P47" t="s">
        <v>2220</v>
      </c>
      <c r="Q47" t="s">
        <v>2243</v>
      </c>
      <c r="R47" t="s">
        <v>2220</v>
      </c>
      <c r="T47" t="s">
        <v>2244</v>
      </c>
      <c r="U47" t="s">
        <v>2244</v>
      </c>
      <c r="V47" t="s">
        <v>2244</v>
      </c>
      <c r="W47" t="s">
        <v>2244</v>
      </c>
    </row>
    <row r="48" spans="2:29" ht="54" customHeight="1" x14ac:dyDescent="0.15">
      <c r="B48">
        <v>31</v>
      </c>
      <c r="C48">
        <v>16</v>
      </c>
      <c r="I48" t="str">
        <f t="shared" si="1"/>
        <v>2.11</v>
      </c>
      <c r="J4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t="str">
        <f t="shared" si="4"/>
        <v>2.11</v>
      </c>
      <c r="M4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48" t="s">
        <v>2227</v>
      </c>
      <c r="Q48" t="s">
        <v>2245</v>
      </c>
      <c r="R48" t="s">
        <v>2227</v>
      </c>
      <c r="U48" t="s">
        <v>2246</v>
      </c>
      <c r="V48" t="s">
        <v>2247</v>
      </c>
      <c r="W48" t="s">
        <v>2247</v>
      </c>
      <c r="AA48" t="s">
        <v>2241</v>
      </c>
      <c r="AB48" t="s">
        <v>2241</v>
      </c>
      <c r="AC48" t="s">
        <v>2241</v>
      </c>
    </row>
    <row r="49" spans="2:29" ht="54" customHeight="1" x14ac:dyDescent="0.15">
      <c r="B49">
        <v>32</v>
      </c>
      <c r="C49" t="s">
        <v>2248</v>
      </c>
      <c r="I49" t="str">
        <f t="shared" si="1"/>
        <v>2.11.1</v>
      </c>
      <c r="J4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f t="shared" si="3"/>
        <v>0</v>
      </c>
      <c r="L49" t="str">
        <f t="shared" si="4"/>
        <v>2.11.1</v>
      </c>
      <c r="M4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t="str">
        <f t="shared" si="6"/>
        <v/>
      </c>
      <c r="P49" t="s">
        <v>2231</v>
      </c>
      <c r="Q49" t="s">
        <v>2249</v>
      </c>
      <c r="R49" t="s">
        <v>2231</v>
      </c>
      <c r="U49" t="s">
        <v>2244</v>
      </c>
      <c r="V49" t="s">
        <v>2244</v>
      </c>
      <c r="W49" t="s">
        <v>2244</v>
      </c>
    </row>
    <row r="50" spans="2:29" ht="126" customHeight="1" x14ac:dyDescent="0.15">
      <c r="B50">
        <v>33</v>
      </c>
      <c r="C50">
        <v>17</v>
      </c>
      <c r="I50" t="str">
        <f t="shared" ref="I50:I81" si="7">INDEX(TEMPLATE_NUMBER_POINT_FHD,B50,MATCH(TEMPLATE_SPHERE,TEMPLATE_SPHERE_LIST_FOR_NOTE,0))</f>
        <v>2.12</v>
      </c>
      <c r="J50"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t="str">
        <f t="shared" ref="L50:L81" si="10">IF(I50=0,"",I50)</f>
        <v>2.12</v>
      </c>
      <c r="M5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t="s">
        <v>2245</v>
      </c>
      <c r="P50" t="s">
        <v>2238</v>
      </c>
      <c r="Q50" t="s">
        <v>2250</v>
      </c>
      <c r="R50" t="s">
        <v>2238</v>
      </c>
      <c r="T50" t="s">
        <v>2251</v>
      </c>
      <c r="U50" t="s">
        <v>2252</v>
      </c>
      <c r="V50" t="s">
        <v>2253</v>
      </c>
      <c r="W50" t="s">
        <v>2254</v>
      </c>
      <c r="Z50" t="s">
        <v>2255</v>
      </c>
      <c r="AA50" t="s">
        <v>2256</v>
      </c>
      <c r="AB50" t="s">
        <v>2256</v>
      </c>
      <c r="AC50" t="s">
        <v>2256</v>
      </c>
    </row>
    <row r="51" spans="2:29" ht="27" customHeight="1" x14ac:dyDescent="0.15">
      <c r="B51">
        <v>34</v>
      </c>
      <c r="C51" t="s">
        <v>2257</v>
      </c>
      <c r="I51">
        <f t="shared" si="7"/>
        <v>0</v>
      </c>
      <c r="J51">
        <f t="shared" si="8"/>
        <v>0</v>
      </c>
      <c r="K51">
        <f t="shared" si="9"/>
        <v>0</v>
      </c>
      <c r="L51" t="str">
        <f t="shared" si="10"/>
        <v/>
      </c>
      <c r="M51" t="str">
        <f t="shared" si="11"/>
        <v/>
      </c>
      <c r="N51" t="str">
        <f t="shared" si="12"/>
        <v/>
      </c>
      <c r="O51" t="s">
        <v>92</v>
      </c>
      <c r="T51" t="s">
        <v>2258</v>
      </c>
    </row>
    <row r="52" spans="2:29" ht="36" customHeight="1" x14ac:dyDescent="0.15">
      <c r="B52">
        <v>35</v>
      </c>
      <c r="C52" t="s">
        <v>2151</v>
      </c>
      <c r="D52" t="s">
        <v>2151</v>
      </c>
      <c r="E52" t="s">
        <v>2151</v>
      </c>
      <c r="F52" t="s">
        <v>2151</v>
      </c>
      <c r="I52" t="str">
        <f t="shared" si="7"/>
        <v>3</v>
      </c>
      <c r="J52" t="str">
        <f t="shared" si="8"/>
        <v>Чистая прибыль, полученная от регулируемого вида деятельности в сфере водоотведения, в том числе:</v>
      </c>
      <c r="K52" t="str">
        <f t="shared" si="9"/>
        <v>Указывается общая сумма чистой прибыли, полученной от регулируемого вида деятельности.</v>
      </c>
      <c r="L52" t="str">
        <f t="shared" si="10"/>
        <v>3</v>
      </c>
      <c r="M52" t="str">
        <f t="shared" si="11"/>
        <v>Чистая прибыль, полученная от регулируемого вида деятельности в сфере водоотведения, в том числе:</v>
      </c>
      <c r="N52" t="str">
        <f t="shared" si="12"/>
        <v>Указывается общая сумма чистой прибыли, полученной от регулируемого вида деятельности.</v>
      </c>
      <c r="O52" t="s">
        <v>93</v>
      </c>
      <c r="P52" t="s">
        <v>92</v>
      </c>
      <c r="Q52" t="s">
        <v>92</v>
      </c>
      <c r="R52" t="s">
        <v>92</v>
      </c>
      <c r="T52" t="s">
        <v>2259</v>
      </c>
      <c r="U52" t="s">
        <v>2260</v>
      </c>
      <c r="V52" t="s">
        <v>2261</v>
      </c>
      <c r="W52" t="s">
        <v>2262</v>
      </c>
      <c r="Z52" t="s">
        <v>866</v>
      </c>
      <c r="AA52" t="s">
        <v>866</v>
      </c>
      <c r="AB52" t="s">
        <v>866</v>
      </c>
      <c r="AC52" t="s">
        <v>866</v>
      </c>
    </row>
    <row r="53" spans="2:29" ht="36" customHeight="1" x14ac:dyDescent="0.15">
      <c r="B53">
        <v>36</v>
      </c>
      <c r="C53">
        <v>1</v>
      </c>
      <c r="I53" t="str">
        <f t="shared" si="7"/>
        <v>3.1</v>
      </c>
      <c r="J5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f t="shared" si="9"/>
        <v>0</v>
      </c>
      <c r="L53" t="str">
        <f t="shared" si="10"/>
        <v>3.1</v>
      </c>
      <c r="M5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t="str">
        <f t="shared" si="12"/>
        <v/>
      </c>
      <c r="O53" t="s">
        <v>870</v>
      </c>
      <c r="P53" t="s">
        <v>442</v>
      </c>
      <c r="Q53" t="s">
        <v>442</v>
      </c>
      <c r="R53" t="s">
        <v>442</v>
      </c>
      <c r="T53" t="s">
        <v>2263</v>
      </c>
      <c r="U53" t="s">
        <v>2263</v>
      </c>
      <c r="V53" t="s">
        <v>2263</v>
      </c>
      <c r="W53" t="s">
        <v>2263</v>
      </c>
    </row>
    <row r="54" spans="2:29" ht="18" customHeight="1" x14ac:dyDescent="0.15">
      <c r="B54">
        <v>37</v>
      </c>
      <c r="C54" t="s">
        <v>2157</v>
      </c>
      <c r="D54" t="s">
        <v>2157</v>
      </c>
      <c r="E54" t="s">
        <v>2157</v>
      </c>
      <c r="F54" t="s">
        <v>2157</v>
      </c>
      <c r="I54" t="str">
        <f t="shared" si="7"/>
        <v>4</v>
      </c>
      <c r="J54" t="str">
        <f t="shared" si="8"/>
        <v>Изменение стоимости основных фондов, в том числе:</v>
      </c>
      <c r="K54" t="str">
        <f t="shared" si="9"/>
        <v>Указывается общее изменение стоимости основных фондов.</v>
      </c>
      <c r="L54" t="str">
        <f t="shared" si="10"/>
        <v>4</v>
      </c>
      <c r="M54" t="str">
        <f t="shared" si="11"/>
        <v>Изменение стоимости основных фондов, в том числе:</v>
      </c>
      <c r="N54" t="str">
        <f t="shared" si="12"/>
        <v>Указывается общее изменение стоимости основных фондов.</v>
      </c>
      <c r="O54" t="s">
        <v>120</v>
      </c>
      <c r="P54" t="s">
        <v>93</v>
      </c>
      <c r="Q54" t="s">
        <v>93</v>
      </c>
      <c r="R54" t="s">
        <v>93</v>
      </c>
      <c r="T54" t="s">
        <v>868</v>
      </c>
      <c r="U54" t="s">
        <v>868</v>
      </c>
      <c r="V54" t="s">
        <v>868</v>
      </c>
      <c r="W54" t="s">
        <v>868</v>
      </c>
      <c r="Z54" t="s">
        <v>869</v>
      </c>
      <c r="AA54" t="s">
        <v>869</v>
      </c>
      <c r="AB54" t="s">
        <v>869</v>
      </c>
      <c r="AC54" t="s">
        <v>869</v>
      </c>
    </row>
    <row r="55" spans="2:29" ht="36" customHeight="1" x14ac:dyDescent="0.15">
      <c r="B55">
        <v>38</v>
      </c>
      <c r="C55">
        <v>1</v>
      </c>
      <c r="I55" t="str">
        <f t="shared" si="7"/>
        <v>4.1</v>
      </c>
      <c r="J55" t="str">
        <f t="shared" si="8"/>
        <v>Изменение стоимости основных фондов за счет их ввода в эксплуатацию (вывода из эксплуатации)</v>
      </c>
      <c r="K55" t="str">
        <f t="shared" si="9"/>
        <v>Указываются общее изменение стоимости основных фондов за счет их ввода в эксплуатацию и вывода из эксплуатации.</v>
      </c>
      <c r="L55" t="str">
        <f t="shared" si="10"/>
        <v>4.1</v>
      </c>
      <c r="M55" t="str">
        <f t="shared" si="11"/>
        <v>Изменение стоимости основных фондов за счет их ввода в эксплуатацию (вывода из эксплуатации)</v>
      </c>
      <c r="N55" t="str">
        <f t="shared" si="12"/>
        <v>Указываются общее изменение стоимости основных фондов за счет их ввода в эксплуатацию и вывода из эксплуатации.</v>
      </c>
      <c r="O55" t="s">
        <v>431</v>
      </c>
      <c r="P55" t="s">
        <v>870</v>
      </c>
      <c r="Q55" t="s">
        <v>870</v>
      </c>
      <c r="R55" t="s">
        <v>870</v>
      </c>
      <c r="T5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t="s">
        <v>2264</v>
      </c>
      <c r="V55" t="s">
        <v>2264</v>
      </c>
      <c r="W55" t="s">
        <v>2264</v>
      </c>
      <c r="Z55" t="s">
        <v>2265</v>
      </c>
      <c r="AA55" t="s">
        <v>2265</v>
      </c>
      <c r="AB55" t="s">
        <v>2265</v>
      </c>
      <c r="AC55" t="s">
        <v>2265</v>
      </c>
    </row>
    <row r="56" spans="2:29" ht="27" customHeight="1" x14ac:dyDescent="0.15">
      <c r="B56">
        <v>39</v>
      </c>
      <c r="C56" t="s">
        <v>1138</v>
      </c>
      <c r="I56" t="str">
        <f t="shared" si="7"/>
        <v>4.1.1</v>
      </c>
      <c r="J56" t="str">
        <f t="shared" si="8"/>
        <v>Изменение стоимости основных фондов за счет их ввода в эксплуатацию</v>
      </c>
      <c r="K56" t="str">
        <f t="shared" si="9"/>
        <v>Указываются изменение стоимости основных фондов за счет их ввода в эксплуатацию.</v>
      </c>
      <c r="L56" t="str">
        <f t="shared" si="10"/>
        <v>4.1.1</v>
      </c>
      <c r="M56" t="str">
        <f t="shared" si="11"/>
        <v>Изменение стоимости основных фондов за счет их ввода в эксплуатацию</v>
      </c>
      <c r="N56" t="str">
        <f t="shared" si="12"/>
        <v>Указываются изменение стоимости основных фондов за счет их ввода в эксплуатацию.</v>
      </c>
      <c r="O56" t="s">
        <v>1259</v>
      </c>
      <c r="P56" t="s">
        <v>873</v>
      </c>
      <c r="Q56" t="s">
        <v>873</v>
      </c>
      <c r="R56" t="s">
        <v>873</v>
      </c>
      <c r="T5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t="s">
        <v>2266</v>
      </c>
      <c r="V56" t="s">
        <v>2266</v>
      </c>
      <c r="W56" t="s">
        <v>2266</v>
      </c>
      <c r="Z56" t="s">
        <v>875</v>
      </c>
      <c r="AA56" t="s">
        <v>875</v>
      </c>
      <c r="AB56" t="s">
        <v>875</v>
      </c>
      <c r="AC56" t="s">
        <v>875</v>
      </c>
    </row>
    <row r="57" spans="2:29" ht="27" customHeight="1" x14ac:dyDescent="0.15">
      <c r="B57">
        <v>40</v>
      </c>
      <c r="C57" t="s">
        <v>1140</v>
      </c>
      <c r="I57" t="str">
        <f t="shared" si="7"/>
        <v>4.1.2</v>
      </c>
      <c r="J57" t="str">
        <f t="shared" si="8"/>
        <v>Изменение стоимости основных фондов за счет их вывода в эксплуатацию</v>
      </c>
      <c r="K57" t="str">
        <f t="shared" si="9"/>
        <v>Указываются изменение стоимости основных фондов за счет их вывода из эксплуатации.</v>
      </c>
      <c r="L57" t="str">
        <f t="shared" si="10"/>
        <v>4.1.2</v>
      </c>
      <c r="M57" t="str">
        <f t="shared" si="11"/>
        <v>Изменение стоимости основных фондов за счет их вывода в эксплуатацию</v>
      </c>
      <c r="N57" t="str">
        <f t="shared" si="12"/>
        <v>Указываются изменение стоимости основных фондов за счет их вывода из эксплуатации.</v>
      </c>
      <c r="O57" t="s">
        <v>2267</v>
      </c>
      <c r="P57" t="s">
        <v>876</v>
      </c>
      <c r="Q57" t="s">
        <v>876</v>
      </c>
      <c r="R57" t="s">
        <v>876</v>
      </c>
      <c r="T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t="s">
        <v>2268</v>
      </c>
      <c r="V57" t="s">
        <v>2268</v>
      </c>
      <c r="W57" t="s">
        <v>2268</v>
      </c>
      <c r="Z57" t="s">
        <v>878</v>
      </c>
      <c r="AA57" t="s">
        <v>878</v>
      </c>
      <c r="AB57" t="s">
        <v>878</v>
      </c>
      <c r="AC57" t="s">
        <v>878</v>
      </c>
    </row>
    <row r="58" spans="2:29" ht="18" customHeight="1" x14ac:dyDescent="0.15">
      <c r="B58">
        <v>41</v>
      </c>
      <c r="C58">
        <v>2</v>
      </c>
      <c r="I58" t="str">
        <f t="shared" si="7"/>
        <v>4.2</v>
      </c>
      <c r="J58" t="str">
        <f t="shared" si="8"/>
        <v>Изменение стоимости основных фондов за счет их переоценки</v>
      </c>
      <c r="K58">
        <f t="shared" si="9"/>
        <v>0</v>
      </c>
      <c r="L58" t="str">
        <f t="shared" si="10"/>
        <v>4.2</v>
      </c>
      <c r="M58" t="str">
        <f t="shared" si="11"/>
        <v>Изменение стоимости основных фондов за счет их переоценки</v>
      </c>
      <c r="N58" t="str">
        <f t="shared" si="12"/>
        <v/>
      </c>
      <c r="O58" t="s">
        <v>998</v>
      </c>
      <c r="P58" t="s">
        <v>912</v>
      </c>
      <c r="Q58" t="s">
        <v>912</v>
      </c>
      <c r="R58" t="s">
        <v>912</v>
      </c>
      <c r="T58" t="str">
        <f>IF(TITLE_TYPE_ORG="Регулируемая организация","Изменение стоимости основных фондов за счет их переоценки","за счет их переоценки")</f>
        <v>за счет их переоценки</v>
      </c>
      <c r="U58" t="s">
        <v>2269</v>
      </c>
      <c r="V58" t="s">
        <v>2269</v>
      </c>
      <c r="W58" t="s">
        <v>2269</v>
      </c>
    </row>
    <row r="59" spans="2:29" ht="36" customHeight="1" x14ac:dyDescent="0.15">
      <c r="B59">
        <v>42</v>
      </c>
      <c r="C59">
        <v>3</v>
      </c>
      <c r="D59" t="s">
        <v>2257</v>
      </c>
      <c r="E59" t="s">
        <v>2257</v>
      </c>
      <c r="F59" t="s">
        <v>2257</v>
      </c>
      <c r="I59" t="str">
        <f t="shared" si="7"/>
        <v>5</v>
      </c>
      <c r="J59" t="str">
        <f t="shared" si="8"/>
        <v>Валовая прибыль (убытки) от продажи товаров и услуг по регулируемым видам деятельности в сфере водоотведения</v>
      </c>
      <c r="K59">
        <f t="shared" si="9"/>
        <v>0</v>
      </c>
      <c r="L59" t="str">
        <f t="shared" si="10"/>
        <v>5</v>
      </c>
      <c r="M59" t="str">
        <f t="shared" si="11"/>
        <v>Валовая прибыль (убытки) от продажи товаров и услуг по регулируемым видам деятельности в сфере водоотведения</v>
      </c>
      <c r="N59" t="str">
        <f t="shared" si="12"/>
        <v/>
      </c>
      <c r="P59" t="s">
        <v>120</v>
      </c>
      <c r="Q59" t="s">
        <v>120</v>
      </c>
      <c r="R59" t="s">
        <v>120</v>
      </c>
      <c r="U59" t="s">
        <v>2270</v>
      </c>
      <c r="V59" t="s">
        <v>2271</v>
      </c>
      <c r="W59" t="s">
        <v>2272</v>
      </c>
    </row>
    <row r="60" spans="2:29" ht="81" customHeight="1" x14ac:dyDescent="0.15">
      <c r="B60">
        <v>43</v>
      </c>
      <c r="C60" t="s">
        <v>2273</v>
      </c>
      <c r="D60" t="s">
        <v>2273</v>
      </c>
      <c r="E60" t="s">
        <v>2273</v>
      </c>
      <c r="F60" t="s">
        <v>2273</v>
      </c>
      <c r="I60" t="str">
        <f t="shared" si="7"/>
        <v>6</v>
      </c>
      <c r="J60" t="str">
        <f t="shared" si="8"/>
        <v>Годовая бухгалтерская (финансовая) отчетность, включая бухгалтерский баланс и приложения к нему</v>
      </c>
      <c r="K6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t="str">
        <f t="shared" si="10"/>
        <v>6</v>
      </c>
      <c r="M60" t="str">
        <f t="shared" si="11"/>
        <v>Годовая бухгалтерская (финансовая) отчетность, включая бухгалтерский баланс и приложения к нему</v>
      </c>
      <c r="N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t="s">
        <v>94</v>
      </c>
      <c r="P60" t="s">
        <v>94</v>
      </c>
      <c r="Q60" t="s">
        <v>94</v>
      </c>
      <c r="R60" t="s">
        <v>94</v>
      </c>
      <c r="T60" t="s">
        <v>746</v>
      </c>
      <c r="U60" t="s">
        <v>746</v>
      </c>
      <c r="V60" t="s">
        <v>746</v>
      </c>
      <c r="W60" t="s">
        <v>746</v>
      </c>
      <c r="Z60" t="s">
        <v>2274</v>
      </c>
      <c r="AA60" t="s">
        <v>2275</v>
      </c>
      <c r="AB60" t="s">
        <v>2276</v>
      </c>
      <c r="AC60" t="s">
        <v>2275</v>
      </c>
    </row>
    <row r="61" spans="2:29" ht="9" customHeight="1" x14ac:dyDescent="0.15">
      <c r="B61">
        <v>44</v>
      </c>
      <c r="D61" t="s">
        <v>2277</v>
      </c>
      <c r="I61">
        <f t="shared" si="7"/>
        <v>0</v>
      </c>
      <c r="J61">
        <f t="shared" si="8"/>
        <v>0</v>
      </c>
      <c r="K61">
        <f t="shared" si="9"/>
        <v>0</v>
      </c>
      <c r="L61" t="str">
        <f t="shared" si="10"/>
        <v/>
      </c>
      <c r="M61" t="str">
        <f t="shared" si="11"/>
        <v/>
      </c>
      <c r="N61" t="str">
        <f t="shared" si="12"/>
        <v/>
      </c>
      <c r="P61" t="s">
        <v>95</v>
      </c>
      <c r="U61" t="s">
        <v>2278</v>
      </c>
    </row>
    <row r="62" spans="2:29" ht="9" customHeight="1" x14ac:dyDescent="0.15">
      <c r="B62">
        <v>45</v>
      </c>
      <c r="D62" t="s">
        <v>2279</v>
      </c>
      <c r="I62">
        <f t="shared" si="7"/>
        <v>0</v>
      </c>
      <c r="J62">
        <f t="shared" si="8"/>
        <v>0</v>
      </c>
      <c r="K62">
        <f t="shared" si="9"/>
        <v>0</v>
      </c>
      <c r="L62" t="str">
        <f t="shared" si="10"/>
        <v/>
      </c>
      <c r="M62" t="str">
        <f t="shared" si="11"/>
        <v/>
      </c>
      <c r="N62" t="str">
        <f t="shared" si="12"/>
        <v/>
      </c>
      <c r="P62" t="s">
        <v>134</v>
      </c>
      <c r="U62" t="s">
        <v>2280</v>
      </c>
    </row>
    <row r="63" spans="2:29" ht="18" customHeight="1" x14ac:dyDescent="0.15">
      <c r="B63">
        <v>46</v>
      </c>
      <c r="D63" t="s">
        <v>2281</v>
      </c>
      <c r="I63">
        <f t="shared" si="7"/>
        <v>0</v>
      </c>
      <c r="J63">
        <f t="shared" si="8"/>
        <v>0</v>
      </c>
      <c r="K63">
        <f t="shared" si="9"/>
        <v>0</v>
      </c>
      <c r="L63" t="str">
        <f t="shared" si="10"/>
        <v/>
      </c>
      <c r="M63" t="str">
        <f t="shared" si="11"/>
        <v/>
      </c>
      <c r="N63" t="str">
        <f t="shared" si="12"/>
        <v/>
      </c>
      <c r="P63" t="s">
        <v>139</v>
      </c>
      <c r="U63" t="s">
        <v>2282</v>
      </c>
    </row>
    <row r="64" spans="2:29" ht="18" customHeight="1" x14ac:dyDescent="0.15">
      <c r="B64">
        <v>47</v>
      </c>
      <c r="D64" t="s">
        <v>2283</v>
      </c>
      <c r="I64">
        <f t="shared" si="7"/>
        <v>0</v>
      </c>
      <c r="J64">
        <f t="shared" si="8"/>
        <v>0</v>
      </c>
      <c r="K64">
        <f t="shared" si="9"/>
        <v>0</v>
      </c>
      <c r="L64" t="str">
        <f t="shared" si="10"/>
        <v/>
      </c>
      <c r="M64" t="str">
        <f t="shared" si="11"/>
        <v/>
      </c>
      <c r="N64" t="str">
        <f t="shared" si="12"/>
        <v/>
      </c>
      <c r="P64" t="s">
        <v>145</v>
      </c>
      <c r="U64" t="s">
        <v>2284</v>
      </c>
      <c r="AA64" t="s">
        <v>2285</v>
      </c>
    </row>
    <row r="65" spans="2:26" ht="18" customHeight="1" x14ac:dyDescent="0.15">
      <c r="B65">
        <v>48</v>
      </c>
      <c r="I65">
        <f t="shared" si="7"/>
        <v>0</v>
      </c>
      <c r="J65">
        <f t="shared" si="8"/>
        <v>0</v>
      </c>
      <c r="K65">
        <f t="shared" si="9"/>
        <v>0</v>
      </c>
      <c r="L65" t="str">
        <f t="shared" si="10"/>
        <v/>
      </c>
      <c r="M65" t="str">
        <f t="shared" si="11"/>
        <v/>
      </c>
      <c r="N65" t="str">
        <f t="shared" si="12"/>
        <v/>
      </c>
      <c r="P65" t="s">
        <v>2198</v>
      </c>
      <c r="U65" t="s">
        <v>2286</v>
      </c>
    </row>
    <row r="66" spans="2:26" ht="18" customHeight="1" x14ac:dyDescent="0.15">
      <c r="B66">
        <v>49</v>
      </c>
      <c r="I66">
        <f t="shared" si="7"/>
        <v>0</v>
      </c>
      <c r="J66">
        <f t="shared" si="8"/>
        <v>0</v>
      </c>
      <c r="K66">
        <f t="shared" si="9"/>
        <v>0</v>
      </c>
      <c r="L66" t="str">
        <f t="shared" si="10"/>
        <v/>
      </c>
      <c r="M66" t="str">
        <f t="shared" si="11"/>
        <v/>
      </c>
      <c r="N66" t="str">
        <f t="shared" si="12"/>
        <v/>
      </c>
      <c r="P66" t="s">
        <v>2202</v>
      </c>
      <c r="U66" t="s">
        <v>2287</v>
      </c>
    </row>
    <row r="67" spans="2:26" ht="27" customHeight="1" x14ac:dyDescent="0.15">
      <c r="B67">
        <v>50</v>
      </c>
      <c r="I67">
        <f t="shared" si="7"/>
        <v>0</v>
      </c>
      <c r="J67">
        <f t="shared" si="8"/>
        <v>0</v>
      </c>
      <c r="K67">
        <f t="shared" si="9"/>
        <v>0</v>
      </c>
      <c r="L67" t="str">
        <f t="shared" si="10"/>
        <v/>
      </c>
      <c r="M67" t="str">
        <f t="shared" si="11"/>
        <v/>
      </c>
      <c r="N67" t="str">
        <f t="shared" si="12"/>
        <v/>
      </c>
      <c r="P67" t="s">
        <v>2288</v>
      </c>
      <c r="U67" t="s">
        <v>2289</v>
      </c>
    </row>
    <row r="68" spans="2:26" ht="27" customHeight="1" x14ac:dyDescent="0.15">
      <c r="B68">
        <v>51</v>
      </c>
      <c r="I68">
        <f t="shared" si="7"/>
        <v>0</v>
      </c>
      <c r="J68">
        <f t="shared" si="8"/>
        <v>0</v>
      </c>
      <c r="K68">
        <f t="shared" si="9"/>
        <v>0</v>
      </c>
      <c r="L68" t="str">
        <f t="shared" si="10"/>
        <v/>
      </c>
      <c r="M68" t="str">
        <f t="shared" si="11"/>
        <v/>
      </c>
      <c r="N68" t="str">
        <f t="shared" si="12"/>
        <v/>
      </c>
      <c r="P68" t="s">
        <v>2290</v>
      </c>
      <c r="U68" t="s">
        <v>2291</v>
      </c>
    </row>
    <row r="69" spans="2:26" ht="9" customHeight="1" x14ac:dyDescent="0.15">
      <c r="B69">
        <v>52</v>
      </c>
      <c r="D69" t="s">
        <v>2292</v>
      </c>
      <c r="I69">
        <f t="shared" si="7"/>
        <v>0</v>
      </c>
      <c r="J69">
        <f t="shared" si="8"/>
        <v>0</v>
      </c>
      <c r="K69">
        <f t="shared" si="9"/>
        <v>0</v>
      </c>
      <c r="L69" t="str">
        <f t="shared" si="10"/>
        <v/>
      </c>
      <c r="M69" t="str">
        <f t="shared" si="11"/>
        <v/>
      </c>
      <c r="N69" t="str">
        <f t="shared" si="12"/>
        <v/>
      </c>
      <c r="P69" t="s">
        <v>150</v>
      </c>
      <c r="U69" t="s">
        <v>2293</v>
      </c>
    </row>
    <row r="70" spans="2:26" ht="27" customHeight="1" x14ac:dyDescent="0.15">
      <c r="B70">
        <v>53</v>
      </c>
      <c r="E70" t="s">
        <v>2277</v>
      </c>
      <c r="I70">
        <f t="shared" si="7"/>
        <v>0</v>
      </c>
      <c r="J70">
        <f t="shared" si="8"/>
        <v>0</v>
      </c>
      <c r="K70">
        <f t="shared" si="9"/>
        <v>0</v>
      </c>
      <c r="L70" t="str">
        <f t="shared" si="10"/>
        <v/>
      </c>
      <c r="M70" t="str">
        <f t="shared" si="11"/>
        <v/>
      </c>
      <c r="N70" t="str">
        <f t="shared" si="12"/>
        <v/>
      </c>
      <c r="Q70" t="s">
        <v>95</v>
      </c>
      <c r="V70" t="s">
        <v>2294</v>
      </c>
    </row>
    <row r="71" spans="2:26" ht="36" customHeight="1" x14ac:dyDescent="0.15">
      <c r="B71">
        <v>54</v>
      </c>
      <c r="E71" t="s">
        <v>2279</v>
      </c>
      <c r="I71">
        <f t="shared" si="7"/>
        <v>0</v>
      </c>
      <c r="J71">
        <f t="shared" si="8"/>
        <v>0</v>
      </c>
      <c r="K71">
        <f t="shared" si="9"/>
        <v>0</v>
      </c>
      <c r="L71" t="str">
        <f t="shared" si="10"/>
        <v/>
      </c>
      <c r="M71" t="str">
        <f t="shared" si="11"/>
        <v/>
      </c>
      <c r="N71" t="str">
        <f t="shared" si="12"/>
        <v/>
      </c>
      <c r="Q71" t="s">
        <v>134</v>
      </c>
      <c r="V71" t="s">
        <v>2295</v>
      </c>
    </row>
    <row r="72" spans="2:26" ht="27" customHeight="1" x14ac:dyDescent="0.15">
      <c r="B72">
        <v>55</v>
      </c>
      <c r="E72" t="s">
        <v>2281</v>
      </c>
      <c r="I72">
        <f t="shared" si="7"/>
        <v>0</v>
      </c>
      <c r="J72">
        <f t="shared" si="8"/>
        <v>0</v>
      </c>
      <c r="K72">
        <f t="shared" si="9"/>
        <v>0</v>
      </c>
      <c r="L72" t="str">
        <f t="shared" si="10"/>
        <v/>
      </c>
      <c r="M72" t="str">
        <f t="shared" si="11"/>
        <v/>
      </c>
      <c r="N72" t="str">
        <f t="shared" si="12"/>
        <v/>
      </c>
      <c r="Q72" t="s">
        <v>139</v>
      </c>
      <c r="V72" t="s">
        <v>2296</v>
      </c>
    </row>
    <row r="73" spans="2:26" ht="36" customHeight="1" x14ac:dyDescent="0.15">
      <c r="B73">
        <v>56</v>
      </c>
      <c r="E73" t="s">
        <v>2283</v>
      </c>
      <c r="I73">
        <f t="shared" si="7"/>
        <v>0</v>
      </c>
      <c r="J73">
        <f t="shared" si="8"/>
        <v>0</v>
      </c>
      <c r="K73">
        <f t="shared" si="9"/>
        <v>0</v>
      </c>
      <c r="L73" t="str">
        <f t="shared" si="10"/>
        <v/>
      </c>
      <c r="M73" t="str">
        <f t="shared" si="11"/>
        <v/>
      </c>
      <c r="N73" t="str">
        <f t="shared" si="12"/>
        <v/>
      </c>
      <c r="Q73" t="s">
        <v>145</v>
      </c>
      <c r="V73" t="s">
        <v>2297</v>
      </c>
    </row>
    <row r="74" spans="2:26" ht="18" customHeight="1" x14ac:dyDescent="0.15">
      <c r="B74">
        <v>57</v>
      </c>
      <c r="E74" t="s">
        <v>2292</v>
      </c>
      <c r="I74">
        <f t="shared" si="7"/>
        <v>0</v>
      </c>
      <c r="J74">
        <f t="shared" si="8"/>
        <v>0</v>
      </c>
      <c r="K74">
        <f t="shared" si="9"/>
        <v>0</v>
      </c>
      <c r="L74" t="str">
        <f t="shared" si="10"/>
        <v/>
      </c>
      <c r="M74" t="str">
        <f t="shared" si="11"/>
        <v/>
      </c>
      <c r="N74" t="str">
        <f t="shared" si="12"/>
        <v/>
      </c>
      <c r="Q74" t="s">
        <v>150</v>
      </c>
      <c r="V74" t="s">
        <v>2298</v>
      </c>
    </row>
    <row r="75" spans="2:26" ht="18" customHeight="1" x14ac:dyDescent="0.15">
      <c r="B75">
        <v>58</v>
      </c>
      <c r="F75" t="s">
        <v>2277</v>
      </c>
      <c r="I75" t="str">
        <f t="shared" si="7"/>
        <v>7</v>
      </c>
      <c r="J75" t="str">
        <f t="shared" si="8"/>
        <v>Объём сточных вод, принятых от потребителей</v>
      </c>
      <c r="K75">
        <f t="shared" si="9"/>
        <v>0</v>
      </c>
      <c r="L75" t="str">
        <f t="shared" si="10"/>
        <v>7</v>
      </c>
      <c r="M75" t="str">
        <f t="shared" si="11"/>
        <v>Объём сточных вод, принятых от потребителей</v>
      </c>
      <c r="N75" t="str">
        <f t="shared" si="12"/>
        <v/>
      </c>
      <c r="R75" t="s">
        <v>95</v>
      </c>
      <c r="W75" t="s">
        <v>2299</v>
      </c>
    </row>
    <row r="76" spans="2:26" ht="36" customHeight="1" x14ac:dyDescent="0.15">
      <c r="B76">
        <v>59</v>
      </c>
      <c r="F76" t="s">
        <v>2279</v>
      </c>
      <c r="I76" t="str">
        <f t="shared" si="7"/>
        <v>8</v>
      </c>
      <c r="J76" t="str">
        <f t="shared" si="8"/>
        <v>Объём сточных вод, принятых от других регулируемых организаций, осуществляющих водоотведение и (или) очистку сточных вод</v>
      </c>
      <c r="K76">
        <f t="shared" si="9"/>
        <v>0</v>
      </c>
      <c r="L76" t="str">
        <f t="shared" si="10"/>
        <v>8</v>
      </c>
      <c r="M76" t="str">
        <f t="shared" si="11"/>
        <v>Объём сточных вод, принятых от других регулируемых организаций, осуществляющих водоотведение и (или) очистку сточных вод</v>
      </c>
      <c r="N76" t="str">
        <f t="shared" si="12"/>
        <v/>
      </c>
      <c r="R76" t="s">
        <v>134</v>
      </c>
      <c r="W76" t="s">
        <v>2300</v>
      </c>
    </row>
    <row r="77" spans="2:26" ht="18" customHeight="1" x14ac:dyDescent="0.15">
      <c r="B77">
        <v>60</v>
      </c>
      <c r="F77" t="s">
        <v>2281</v>
      </c>
      <c r="I77" t="str">
        <f t="shared" si="7"/>
        <v>9</v>
      </c>
      <c r="J77" t="str">
        <f t="shared" si="8"/>
        <v>Объём сточных вод, пропущенных через очистные сооружения</v>
      </c>
      <c r="K77">
        <f t="shared" si="9"/>
        <v>0</v>
      </c>
      <c r="L77" t="str">
        <f t="shared" si="10"/>
        <v>9</v>
      </c>
      <c r="M77" t="str">
        <f t="shared" si="11"/>
        <v>Объём сточных вод, пропущенных через очистные сооружения</v>
      </c>
      <c r="N77" t="str">
        <f t="shared" si="12"/>
        <v/>
      </c>
      <c r="R77" t="s">
        <v>139</v>
      </c>
      <c r="W77" t="s">
        <v>2301</v>
      </c>
    </row>
    <row r="78" spans="2:26" ht="72" customHeight="1" x14ac:dyDescent="0.15">
      <c r="B78">
        <v>61</v>
      </c>
      <c r="C78" t="s">
        <v>2277</v>
      </c>
      <c r="I78">
        <f t="shared" si="7"/>
        <v>0</v>
      </c>
      <c r="J78">
        <f t="shared" si="8"/>
        <v>0</v>
      </c>
      <c r="K78">
        <f t="shared" si="9"/>
        <v>0</v>
      </c>
      <c r="L78" t="str">
        <f t="shared" si="10"/>
        <v/>
      </c>
      <c r="M78" t="str">
        <f t="shared" si="11"/>
        <v/>
      </c>
      <c r="N78" t="str">
        <f t="shared" si="12"/>
        <v/>
      </c>
      <c r="O78" t="s">
        <v>95</v>
      </c>
      <c r="T78" t="s">
        <v>751</v>
      </c>
      <c r="Z78" t="s">
        <v>2302</v>
      </c>
    </row>
    <row r="79" spans="2:26" ht="36" customHeight="1" x14ac:dyDescent="0.15">
      <c r="B79">
        <v>62</v>
      </c>
      <c r="C79" t="s">
        <v>2279</v>
      </c>
      <c r="I79">
        <f t="shared" si="7"/>
        <v>0</v>
      </c>
      <c r="J79">
        <f t="shared" si="8"/>
        <v>0</v>
      </c>
      <c r="K79">
        <f t="shared" si="9"/>
        <v>0</v>
      </c>
      <c r="L79" t="str">
        <f t="shared" si="10"/>
        <v/>
      </c>
      <c r="M79" t="str">
        <f t="shared" si="11"/>
        <v/>
      </c>
      <c r="N79" t="str">
        <f t="shared" si="12"/>
        <v/>
      </c>
      <c r="O79" t="s">
        <v>134</v>
      </c>
      <c r="T79" t="s">
        <v>2303</v>
      </c>
      <c r="Z79" t="s">
        <v>2304</v>
      </c>
    </row>
    <row r="80" spans="2:26" ht="45" customHeight="1" x14ac:dyDescent="0.15">
      <c r="B80">
        <v>63</v>
      </c>
      <c r="C80" t="s">
        <v>2281</v>
      </c>
      <c r="I80">
        <f t="shared" si="7"/>
        <v>0</v>
      </c>
      <c r="J80">
        <f t="shared" si="8"/>
        <v>0</v>
      </c>
      <c r="K80">
        <f t="shared" si="9"/>
        <v>0</v>
      </c>
      <c r="L80" t="str">
        <f t="shared" si="10"/>
        <v/>
      </c>
      <c r="M80" t="str">
        <f t="shared" si="11"/>
        <v/>
      </c>
      <c r="N80" t="str">
        <f t="shared" si="12"/>
        <v/>
      </c>
      <c r="O80" t="s">
        <v>139</v>
      </c>
      <c r="T80" t="s">
        <v>2305</v>
      </c>
      <c r="Z80" t="s">
        <v>2306</v>
      </c>
    </row>
    <row r="81" spans="2:27" ht="36" customHeight="1" x14ac:dyDescent="0.15">
      <c r="B81">
        <v>64</v>
      </c>
      <c r="C81" t="s">
        <v>2283</v>
      </c>
      <c r="I81">
        <f t="shared" si="7"/>
        <v>0</v>
      </c>
      <c r="J81">
        <f t="shared" si="8"/>
        <v>0</v>
      </c>
      <c r="K81">
        <f t="shared" si="9"/>
        <v>0</v>
      </c>
      <c r="L81" t="str">
        <f t="shared" si="10"/>
        <v/>
      </c>
      <c r="M81" t="str">
        <f t="shared" si="11"/>
        <v/>
      </c>
      <c r="N81" t="str">
        <f t="shared" si="12"/>
        <v/>
      </c>
      <c r="O81" t="s">
        <v>2189</v>
      </c>
      <c r="T81" t="s">
        <v>2307</v>
      </c>
      <c r="Z81" t="s">
        <v>2308</v>
      </c>
    </row>
    <row r="82" spans="2:27" ht="90" customHeight="1" x14ac:dyDescent="0.15">
      <c r="B82">
        <v>65</v>
      </c>
      <c r="C82" t="s">
        <v>2292</v>
      </c>
      <c r="I82">
        <f t="shared" ref="I82:I101" si="13">INDEX(TEMPLATE_NUMBER_POINT_FHD,B82,MATCH(TEMPLATE_SPHERE,TEMPLATE_SPHERE_LIST_FOR_NOTE,0))</f>
        <v>0</v>
      </c>
      <c r="J82">
        <f t="shared" ref="J82:J101" si="14">INDEX(TEMPLATE_DATA_POINT_FHD,B82,MATCH(TEMPLATE_SPHERE,TEMPLATE_SPHERE_LIST_FOR_NOTE,0))</f>
        <v>0</v>
      </c>
      <c r="K82">
        <f t="shared" ref="K82:K101" si="15">INDEX(TEMPLATE_NOTE_POINT_FHD,B82,MATCH(TEMPLATE_SPHERE,TEMPLATE_SPHERE_LIST_FOR_NOTE,0))</f>
        <v>0</v>
      </c>
      <c r="L82" t="str">
        <f t="shared" ref="L82:L101" si="16">IF(I82=0,"",I82)</f>
        <v/>
      </c>
      <c r="M82" t="str">
        <f t="shared" ref="M82:M101" si="17">IF(J82=0,"",J82)</f>
        <v/>
      </c>
      <c r="N82" t="str">
        <f t="shared" ref="N82:N101" si="18">IF(K82=0,"",K82)</f>
        <v/>
      </c>
      <c r="O82" t="s">
        <v>145</v>
      </c>
      <c r="T82" t="s">
        <v>2309</v>
      </c>
      <c r="Z82" t="s">
        <v>2310</v>
      </c>
    </row>
    <row r="83" spans="2:27" ht="9" customHeight="1" x14ac:dyDescent="0.15">
      <c r="B83">
        <v>66</v>
      </c>
      <c r="I83">
        <f t="shared" si="13"/>
        <v>0</v>
      </c>
      <c r="J83">
        <f t="shared" si="14"/>
        <v>0</v>
      </c>
      <c r="K83">
        <f t="shared" si="15"/>
        <v>0</v>
      </c>
      <c r="L83" t="str">
        <f t="shared" si="16"/>
        <v/>
      </c>
      <c r="M83" t="str">
        <f t="shared" si="17"/>
        <v/>
      </c>
      <c r="N83" t="str">
        <f t="shared" si="18"/>
        <v/>
      </c>
      <c r="O83" t="s">
        <v>2198</v>
      </c>
      <c r="T83" t="s">
        <v>2311</v>
      </c>
    </row>
    <row r="84" spans="2:27" ht="54" customHeight="1" x14ac:dyDescent="0.15">
      <c r="B84">
        <v>67</v>
      </c>
      <c r="I84">
        <f t="shared" si="13"/>
        <v>0</v>
      </c>
      <c r="J84">
        <f t="shared" si="14"/>
        <v>0</v>
      </c>
      <c r="K84">
        <f t="shared" si="15"/>
        <v>0</v>
      </c>
      <c r="L84" t="str">
        <f t="shared" si="16"/>
        <v/>
      </c>
      <c r="M84" t="str">
        <f t="shared" si="17"/>
        <v/>
      </c>
      <c r="N84" t="str">
        <f t="shared" si="18"/>
        <v/>
      </c>
      <c r="O84" t="s">
        <v>2312</v>
      </c>
      <c r="T84" t="s">
        <v>2313</v>
      </c>
    </row>
    <row r="85" spans="2:27" ht="9" customHeight="1" x14ac:dyDescent="0.15">
      <c r="B85">
        <v>68</v>
      </c>
      <c r="I85">
        <f t="shared" si="13"/>
        <v>0</v>
      </c>
      <c r="J85">
        <f t="shared" si="14"/>
        <v>0</v>
      </c>
      <c r="K85">
        <f t="shared" si="15"/>
        <v>0</v>
      </c>
      <c r="L85" t="str">
        <f t="shared" si="16"/>
        <v/>
      </c>
      <c r="M85" t="str">
        <f t="shared" si="17"/>
        <v/>
      </c>
      <c r="N85" t="str">
        <f t="shared" si="18"/>
        <v/>
      </c>
      <c r="O85" t="s">
        <v>2202</v>
      </c>
      <c r="T85" t="s">
        <v>2314</v>
      </c>
    </row>
    <row r="86" spans="2:27" ht="27" customHeight="1" x14ac:dyDescent="0.15">
      <c r="B86">
        <v>69</v>
      </c>
      <c r="I86">
        <f t="shared" si="13"/>
        <v>0</v>
      </c>
      <c r="J86">
        <f t="shared" si="14"/>
        <v>0</v>
      </c>
      <c r="K86">
        <f t="shared" si="15"/>
        <v>0</v>
      </c>
      <c r="L86" t="str">
        <f t="shared" si="16"/>
        <v/>
      </c>
      <c r="M86" t="str">
        <f t="shared" si="17"/>
        <v/>
      </c>
      <c r="N86" t="str">
        <f t="shared" si="18"/>
        <v/>
      </c>
      <c r="O86" t="s">
        <v>2315</v>
      </c>
      <c r="T86" t="s">
        <v>2316</v>
      </c>
    </row>
    <row r="87" spans="2:27" ht="36" customHeight="1" x14ac:dyDescent="0.15">
      <c r="B87">
        <v>70</v>
      </c>
      <c r="C87" t="s">
        <v>2317</v>
      </c>
      <c r="I87">
        <f t="shared" si="13"/>
        <v>0</v>
      </c>
      <c r="J87">
        <f t="shared" si="14"/>
        <v>0</v>
      </c>
      <c r="K87">
        <f t="shared" si="15"/>
        <v>0</v>
      </c>
      <c r="L87" t="str">
        <f t="shared" si="16"/>
        <v/>
      </c>
      <c r="M87" t="str">
        <f t="shared" si="17"/>
        <v/>
      </c>
      <c r="N87" t="str">
        <f t="shared" si="18"/>
        <v/>
      </c>
      <c r="O87" t="s">
        <v>150</v>
      </c>
      <c r="T87" t="s">
        <v>2318</v>
      </c>
    </row>
    <row r="88" spans="2:27" ht="18" customHeight="1" x14ac:dyDescent="0.15">
      <c r="B88">
        <v>71</v>
      </c>
      <c r="C88" t="s">
        <v>2319</v>
      </c>
      <c r="I88">
        <f t="shared" si="13"/>
        <v>0</v>
      </c>
      <c r="J88">
        <f t="shared" si="14"/>
        <v>0</v>
      </c>
      <c r="K88">
        <f t="shared" si="15"/>
        <v>0</v>
      </c>
      <c r="L88" t="str">
        <f t="shared" si="16"/>
        <v/>
      </c>
      <c r="M88" t="str">
        <f t="shared" si="17"/>
        <v/>
      </c>
      <c r="N88" t="str">
        <f t="shared" si="18"/>
        <v/>
      </c>
      <c r="O88" t="s">
        <v>154</v>
      </c>
      <c r="T88" t="s">
        <v>783</v>
      </c>
    </row>
    <row r="89" spans="2:27" ht="18" customHeight="1" x14ac:dyDescent="0.15">
      <c r="B89">
        <v>72</v>
      </c>
      <c r="C89" t="s">
        <v>2320</v>
      </c>
      <c r="D89" t="s">
        <v>2317</v>
      </c>
      <c r="E89" t="s">
        <v>2317</v>
      </c>
      <c r="F89" t="s">
        <v>2283</v>
      </c>
      <c r="I89" t="str">
        <f t="shared" si="13"/>
        <v>10</v>
      </c>
      <c r="J89" t="str">
        <f t="shared" si="14"/>
        <v>Среднесписочная численность основного производственного персонала</v>
      </c>
      <c r="K89">
        <f t="shared" si="15"/>
        <v>0</v>
      </c>
      <c r="L89" t="str">
        <f t="shared" si="16"/>
        <v>10</v>
      </c>
      <c r="M89" t="str">
        <f t="shared" si="17"/>
        <v>Среднесписочная численность основного производственного персонала</v>
      </c>
      <c r="N89" t="str">
        <f t="shared" si="18"/>
        <v/>
      </c>
      <c r="O89" t="s">
        <v>158</v>
      </c>
      <c r="P89" t="s">
        <v>154</v>
      </c>
      <c r="Q89" t="s">
        <v>154</v>
      </c>
      <c r="R89" t="s">
        <v>145</v>
      </c>
      <c r="T89" t="s">
        <v>791</v>
      </c>
      <c r="U89" t="s">
        <v>791</v>
      </c>
      <c r="V89" t="s">
        <v>791</v>
      </c>
      <c r="W89" t="s">
        <v>791</v>
      </c>
    </row>
    <row r="90" spans="2:27" ht="27" customHeight="1" x14ac:dyDescent="0.15">
      <c r="B90">
        <v>73</v>
      </c>
      <c r="C90" t="s">
        <v>2321</v>
      </c>
      <c r="I90">
        <f t="shared" si="13"/>
        <v>0</v>
      </c>
      <c r="J90">
        <f t="shared" si="14"/>
        <v>0</v>
      </c>
      <c r="K90">
        <f t="shared" si="15"/>
        <v>0</v>
      </c>
      <c r="L90" t="str">
        <f t="shared" si="16"/>
        <v/>
      </c>
      <c r="M90" t="str">
        <f t="shared" si="17"/>
        <v/>
      </c>
      <c r="N90" t="str">
        <f t="shared" si="18"/>
        <v/>
      </c>
      <c r="O90" t="s">
        <v>204</v>
      </c>
      <c r="T90" t="s">
        <v>793</v>
      </c>
    </row>
    <row r="91" spans="2:27" ht="18" customHeight="1" x14ac:dyDescent="0.15">
      <c r="B91">
        <v>74</v>
      </c>
      <c r="D91" t="s">
        <v>2319</v>
      </c>
      <c r="E91" t="s">
        <v>2319</v>
      </c>
      <c r="I91">
        <f t="shared" si="13"/>
        <v>0</v>
      </c>
      <c r="J91">
        <f t="shared" si="14"/>
        <v>0</v>
      </c>
      <c r="K91">
        <f t="shared" si="15"/>
        <v>0</v>
      </c>
      <c r="L91" t="str">
        <f t="shared" si="16"/>
        <v/>
      </c>
      <c r="M91" t="str">
        <f t="shared" si="17"/>
        <v/>
      </c>
      <c r="N91" t="str">
        <f t="shared" si="18"/>
        <v/>
      </c>
      <c r="P91" t="s">
        <v>158</v>
      </c>
      <c r="Q91" t="s">
        <v>158</v>
      </c>
      <c r="U91" t="s">
        <v>2322</v>
      </c>
      <c r="V91" t="s">
        <v>2322</v>
      </c>
    </row>
    <row r="92" spans="2:27" ht="27" customHeight="1" x14ac:dyDescent="0.15">
      <c r="B92">
        <v>75</v>
      </c>
      <c r="D92" t="s">
        <v>2320</v>
      </c>
      <c r="I92">
        <f t="shared" si="13"/>
        <v>0</v>
      </c>
      <c r="J92">
        <f t="shared" si="14"/>
        <v>0</v>
      </c>
      <c r="K92">
        <f t="shared" si="15"/>
        <v>0</v>
      </c>
      <c r="L92" t="str">
        <f t="shared" si="16"/>
        <v/>
      </c>
      <c r="M92" t="str">
        <f t="shared" si="17"/>
        <v/>
      </c>
      <c r="N92" t="str">
        <f t="shared" si="18"/>
        <v/>
      </c>
      <c r="P92" t="s">
        <v>204</v>
      </c>
      <c r="U92" t="s">
        <v>2323</v>
      </c>
      <c r="AA92" t="s">
        <v>2324</v>
      </c>
    </row>
    <row r="93" spans="2:27" ht="27" customHeight="1" x14ac:dyDescent="0.15">
      <c r="B93">
        <v>76</v>
      </c>
      <c r="I93">
        <f t="shared" si="13"/>
        <v>0</v>
      </c>
      <c r="J93">
        <f t="shared" si="14"/>
        <v>0</v>
      </c>
      <c r="K93">
        <f t="shared" si="15"/>
        <v>0</v>
      </c>
      <c r="L93" t="str">
        <f t="shared" si="16"/>
        <v/>
      </c>
      <c r="M93" t="str">
        <f t="shared" si="17"/>
        <v/>
      </c>
      <c r="N93" t="str">
        <f t="shared" si="18"/>
        <v/>
      </c>
      <c r="P93" t="s">
        <v>2230</v>
      </c>
      <c r="U93" t="s">
        <v>2325</v>
      </c>
      <c r="AA93" t="s">
        <v>2326</v>
      </c>
    </row>
    <row r="94" spans="2:27" ht="45" customHeight="1" x14ac:dyDescent="0.15">
      <c r="B94">
        <v>77</v>
      </c>
      <c r="D94" t="s">
        <v>2321</v>
      </c>
      <c r="I94">
        <f t="shared" si="13"/>
        <v>0</v>
      </c>
      <c r="J94">
        <f t="shared" si="14"/>
        <v>0</v>
      </c>
      <c r="K94">
        <f t="shared" si="15"/>
        <v>0</v>
      </c>
      <c r="L94" t="str">
        <f t="shared" si="16"/>
        <v/>
      </c>
      <c r="M94" t="str">
        <f t="shared" si="17"/>
        <v/>
      </c>
      <c r="N94" t="str">
        <f t="shared" si="18"/>
        <v/>
      </c>
      <c r="P94" t="s">
        <v>1585</v>
      </c>
      <c r="U94" t="s">
        <v>2327</v>
      </c>
      <c r="AA94" t="s">
        <v>2328</v>
      </c>
    </row>
    <row r="95" spans="2:27" ht="99" customHeight="1" x14ac:dyDescent="0.15">
      <c r="B95">
        <v>78</v>
      </c>
      <c r="C95" t="s">
        <v>2329</v>
      </c>
      <c r="I95">
        <f t="shared" si="13"/>
        <v>0</v>
      </c>
      <c r="J95">
        <f t="shared" si="14"/>
        <v>0</v>
      </c>
      <c r="K95">
        <f t="shared" si="15"/>
        <v>0</v>
      </c>
      <c r="L95" t="str">
        <f t="shared" si="16"/>
        <v/>
      </c>
      <c r="M95" t="str">
        <f t="shared" si="17"/>
        <v/>
      </c>
      <c r="N95" t="str">
        <f t="shared" si="18"/>
        <v/>
      </c>
      <c r="O95" t="s">
        <v>1585</v>
      </c>
      <c r="T95" t="s">
        <v>2330</v>
      </c>
    </row>
    <row r="96" spans="2:27" ht="99" customHeight="1" x14ac:dyDescent="0.15">
      <c r="B96">
        <v>79</v>
      </c>
      <c r="C96" t="s">
        <v>1271</v>
      </c>
      <c r="I96">
        <f t="shared" si="13"/>
        <v>0</v>
      </c>
      <c r="J96">
        <f t="shared" si="14"/>
        <v>0</v>
      </c>
      <c r="K96">
        <f t="shared" si="15"/>
        <v>0</v>
      </c>
      <c r="L96" t="str">
        <f t="shared" si="16"/>
        <v/>
      </c>
      <c r="M96" t="str">
        <f t="shared" si="17"/>
        <v/>
      </c>
      <c r="N96" t="str">
        <f t="shared" si="18"/>
        <v/>
      </c>
      <c r="O96" t="s">
        <v>113</v>
      </c>
      <c r="T96" t="s">
        <v>2331</v>
      </c>
      <c r="Z96" t="s">
        <v>2332</v>
      </c>
    </row>
    <row r="97" spans="2:26" ht="63" customHeight="1" x14ac:dyDescent="0.15">
      <c r="B97">
        <v>80</v>
      </c>
      <c r="C97" t="s">
        <v>2333</v>
      </c>
      <c r="I97">
        <f t="shared" si="13"/>
        <v>0</v>
      </c>
      <c r="J97">
        <f t="shared" si="14"/>
        <v>0</v>
      </c>
      <c r="K97">
        <f t="shared" si="15"/>
        <v>0</v>
      </c>
      <c r="L97" t="str">
        <f t="shared" si="16"/>
        <v/>
      </c>
      <c r="M97" t="str">
        <f t="shared" si="17"/>
        <v/>
      </c>
      <c r="N97" t="str">
        <f t="shared" si="18"/>
        <v/>
      </c>
      <c r="O97" t="s">
        <v>1602</v>
      </c>
      <c r="T97" t="s">
        <v>2334</v>
      </c>
      <c r="Z97" t="s">
        <v>2335</v>
      </c>
    </row>
    <row r="98" spans="2:26" ht="63" customHeight="1" x14ac:dyDescent="0.15">
      <c r="B98">
        <v>81</v>
      </c>
      <c r="C98" t="s">
        <v>2336</v>
      </c>
      <c r="I98">
        <f t="shared" si="13"/>
        <v>0</v>
      </c>
      <c r="J98">
        <f t="shared" si="14"/>
        <v>0</v>
      </c>
      <c r="K98">
        <f t="shared" si="15"/>
        <v>0</v>
      </c>
      <c r="L98" t="str">
        <f t="shared" si="16"/>
        <v/>
      </c>
      <c r="M98" t="str">
        <f t="shared" si="17"/>
        <v/>
      </c>
      <c r="N98" t="str">
        <f t="shared" si="18"/>
        <v/>
      </c>
      <c r="O98" t="s">
        <v>1616</v>
      </c>
      <c r="T98" t="s">
        <v>2337</v>
      </c>
      <c r="Z98" t="s">
        <v>2335</v>
      </c>
    </row>
    <row r="99" spans="2:26" ht="90" customHeight="1" x14ac:dyDescent="0.15">
      <c r="B99">
        <v>82</v>
      </c>
      <c r="C99" t="s">
        <v>2338</v>
      </c>
      <c r="I99">
        <f t="shared" si="13"/>
        <v>0</v>
      </c>
      <c r="J99">
        <f t="shared" si="14"/>
        <v>0</v>
      </c>
      <c r="K99">
        <f t="shared" si="15"/>
        <v>0</v>
      </c>
      <c r="L99" t="str">
        <f t="shared" si="16"/>
        <v/>
      </c>
      <c r="M99" t="str">
        <f t="shared" si="17"/>
        <v/>
      </c>
      <c r="N99" t="str">
        <f t="shared" si="18"/>
        <v/>
      </c>
      <c r="O99" t="s">
        <v>1628</v>
      </c>
      <c r="T99" t="s">
        <v>2339</v>
      </c>
      <c r="Z99" t="s">
        <v>748</v>
      </c>
    </row>
    <row r="100" spans="2:26" ht="27" customHeight="1" x14ac:dyDescent="0.15">
      <c r="B100">
        <v>83</v>
      </c>
      <c r="I100">
        <f t="shared" si="13"/>
        <v>0</v>
      </c>
      <c r="J100">
        <f t="shared" si="14"/>
        <v>0</v>
      </c>
      <c r="K100">
        <f t="shared" si="15"/>
        <v>0</v>
      </c>
      <c r="L100" t="str">
        <f t="shared" si="16"/>
        <v/>
      </c>
      <c r="M100" t="str">
        <f t="shared" si="17"/>
        <v/>
      </c>
      <c r="N100" t="str">
        <f t="shared" si="18"/>
        <v/>
      </c>
      <c r="O100" t="s">
        <v>2340</v>
      </c>
      <c r="T100" t="s">
        <v>2341</v>
      </c>
      <c r="Z100" t="s">
        <v>748</v>
      </c>
    </row>
    <row r="101" spans="2:26" ht="27" customHeight="1" x14ac:dyDescent="0.15">
      <c r="B101">
        <v>84</v>
      </c>
      <c r="I101">
        <f t="shared" si="13"/>
        <v>0</v>
      </c>
      <c r="J101">
        <f t="shared" si="14"/>
        <v>0</v>
      </c>
      <c r="K101">
        <f t="shared" si="15"/>
        <v>0</v>
      </c>
      <c r="L101" t="str">
        <f t="shared" si="16"/>
        <v/>
      </c>
      <c r="M101" t="str">
        <f t="shared" si="17"/>
        <v/>
      </c>
      <c r="N101" t="str">
        <f t="shared" si="18"/>
        <v/>
      </c>
      <c r="O101" t="s">
        <v>2342</v>
      </c>
      <c r="T101" t="s">
        <v>2343</v>
      </c>
      <c r="Z101" t="s">
        <v>748</v>
      </c>
    </row>
    <row r="148" spans="1:24" ht="90" customHeight="1" x14ac:dyDescent="0.15">
      <c r="A148" t="s">
        <v>1780</v>
      </c>
      <c r="C148" t="s">
        <v>2344</v>
      </c>
      <c r="D148" t="s">
        <v>1684</v>
      </c>
      <c r="E148" t="s">
        <v>1782</v>
      </c>
      <c r="F148" t="s">
        <v>2345</v>
      </c>
      <c r="M14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T148" t="s">
        <v>2346</v>
      </c>
      <c r="U1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X148" t="s">
        <v>2347</v>
      </c>
    </row>
    <row r="150" spans="1:24" ht="9" customHeight="1" x14ac:dyDescent="0.15">
      <c r="A150" t="s">
        <v>1784</v>
      </c>
    </row>
    <row r="152" spans="1:24" ht="9" customHeight="1" x14ac:dyDescent="0.15">
      <c r="A152" t="s">
        <v>1787</v>
      </c>
    </row>
    <row r="154" spans="1:24" ht="9" customHeight="1" x14ac:dyDescent="0.15">
      <c r="A154" t="s">
        <v>1792</v>
      </c>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8" width="12.28515625" hidden="1" customWidth="1"/>
    <col min="9" max="11" width="3" customWidth="1"/>
    <col min="12" max="12" width="12" customWidth="1"/>
    <col min="13" max="13" width="31" customWidth="1"/>
    <col min="14" max="14" width="1" customWidth="1"/>
    <col min="15" max="18" width="24" customWidth="1"/>
    <col min="19" max="19" width="11" customWidth="1"/>
    <col min="20" max="20" width="3.7109375" customWidth="1"/>
    <col min="21" max="21" width="11" customWidth="1"/>
    <col min="22" max="22" width="8.5703125" customWidth="1"/>
    <col min="23" max="23" width="4" customWidth="1"/>
    <col min="24" max="24" width="115" customWidth="1"/>
    <col min="25" max="29" width="10" customWidth="1"/>
    <col min="30" max="30" width="10.5703125" hidden="1"/>
  </cols>
  <sheetData>
    <row r="1" spans="12:30" ht="22.5" hidden="1" customHeight="1" x14ac:dyDescent="0.15">
      <c r="AD1" t="s">
        <v>14</v>
      </c>
    </row>
    <row r="2" spans="12:30" ht="14.25" hidden="1" customHeight="1" x14ac:dyDescent="0.15">
      <c r="AD2">
        <v>0</v>
      </c>
    </row>
    <row r="3" spans="12:30" ht="14.25" hidden="1" customHeight="1" x14ac:dyDescent="0.15">
      <c r="AD3">
        <v>0</v>
      </c>
    </row>
    <row r="4" spans="12:30" ht="14.65" customHeight="1" x14ac:dyDescent="0.15">
      <c r="AD4">
        <v>14</v>
      </c>
    </row>
    <row r="5" spans="12:30" ht="67.150000000000006" customHeight="1" x14ac:dyDescent="0.15">
      <c r="L5" s="1" t="s">
        <v>2348</v>
      </c>
      <c r="M5" s="1"/>
      <c r="N5" s="1"/>
      <c r="O5" s="1"/>
      <c r="P5" s="1"/>
      <c r="Q5" s="1"/>
      <c r="R5" s="1"/>
      <c r="S5" s="1"/>
      <c r="T5" s="1"/>
      <c r="U5" s="1"/>
      <c r="AD5">
        <v>64</v>
      </c>
    </row>
    <row r="6" spans="12:30" ht="14.65" customHeight="1" x14ac:dyDescent="0.15">
      <c r="L6" s="1" t="str">
        <f>IF(org=0,"Не определено",org)</f>
        <v>КГУП "Примтеплоэнерго"</v>
      </c>
      <c r="M6" s="1"/>
      <c r="N6" s="1"/>
      <c r="O6" s="1"/>
      <c r="P6" s="1"/>
      <c r="Q6" s="1"/>
      <c r="R6" s="1"/>
      <c r="S6" s="1"/>
      <c r="T6" s="1"/>
      <c r="U6" s="1"/>
      <c r="AD6">
        <v>14</v>
      </c>
    </row>
    <row r="7" spans="12:30" ht="14.65" customHeight="1" x14ac:dyDescent="0.15">
      <c r="AD7">
        <v>14</v>
      </c>
    </row>
    <row r="8" spans="12:30" ht="48.2" customHeight="1" x14ac:dyDescent="0.15">
      <c r="M8" t="s">
        <v>42</v>
      </c>
      <c r="O8" s="1" t="str">
        <f>IF(TITLE_NAME_OR_PR_CHANGE="",IF(TITLE_NAME_OR_PR="","",TITLE_NAME_OR_PR),TITLE_NAME_OR_PR_CHANGE)</f>
        <v>Агентство по тарифам Приморского края</v>
      </c>
      <c r="P8" s="1"/>
      <c r="Q8" s="1"/>
      <c r="R8" s="1"/>
      <c r="S8" s="1"/>
      <c r="T8" s="1"/>
      <c r="U8" s="1"/>
      <c r="AD8">
        <v>46</v>
      </c>
    </row>
    <row r="9" spans="12:30" ht="24" customHeight="1" x14ac:dyDescent="0.15">
      <c r="M9" t="s">
        <v>539</v>
      </c>
      <c r="O9" s="1">
        <f>IF(TITLE_DATE_CHANGE_PERIOD="",IF(TITLE_DATE_PR="","",TITLE_DATE_PR),TITLE_DATE_CHANGE_PERIOD)</f>
        <v>45292.495127314818</v>
      </c>
      <c r="P9" s="1"/>
      <c r="Q9" s="1"/>
      <c r="R9" s="1"/>
      <c r="S9" s="1"/>
      <c r="T9" s="1"/>
      <c r="U9" s="1"/>
      <c r="AD9">
        <v>23</v>
      </c>
    </row>
    <row r="10" spans="12:30" ht="24" customHeight="1" x14ac:dyDescent="0.15">
      <c r="M10" t="s">
        <v>540</v>
      </c>
      <c r="O10" s="1" t="str">
        <f>IF(TITLE_NUMBER_PR_CHANGE="",IF(TITLE_NUMBER_PR="","",TITLE_NUMBER_PR),TITLE_NUMBER_PR_CHANGE)</f>
        <v>63/2</v>
      </c>
      <c r="P10" s="1"/>
      <c r="Q10" s="1"/>
      <c r="R10" s="1"/>
      <c r="S10" s="1"/>
      <c r="T10" s="1"/>
      <c r="U10" s="1"/>
      <c r="AD10">
        <v>23</v>
      </c>
    </row>
    <row r="11" spans="12:30" ht="24" customHeight="1" x14ac:dyDescent="0.15">
      <c r="M11" t="s">
        <v>44</v>
      </c>
      <c r="O11" s="1" t="str">
        <f>IF(TITLE_IST_PUB_CHANGE="",IF(TITLE_IST_PUB="","",TITLE_IST_PUB),TITLE_IST_PUB_CHANGE)</f>
        <v>http://pravo.gov.ru</v>
      </c>
      <c r="P11" s="1"/>
      <c r="Q11" s="1"/>
      <c r="R11" s="1"/>
      <c r="S11" s="1"/>
      <c r="T11" s="1"/>
      <c r="U11" s="1"/>
      <c r="AD11">
        <v>23</v>
      </c>
    </row>
    <row r="12" spans="12:30" ht="11.25" hidden="1" customHeight="1" x14ac:dyDescent="0.15">
      <c r="L12" s="1"/>
      <c r="M12" s="1"/>
      <c r="V12" t="s">
        <v>543</v>
      </c>
      <c r="AD12">
        <v>0</v>
      </c>
    </row>
    <row r="13" spans="12:30" ht="14.65" customHeight="1" x14ac:dyDescent="0.15">
      <c r="O13" s="1"/>
      <c r="P13" s="1"/>
      <c r="Q13" s="1"/>
      <c r="R13" s="1"/>
      <c r="S13" s="1"/>
      <c r="T13" s="1"/>
      <c r="U13" s="1"/>
      <c r="V13" s="1"/>
      <c r="AD13">
        <v>14</v>
      </c>
    </row>
    <row r="14" spans="12:30" ht="14.65" customHeight="1" x14ac:dyDescent="0.15">
      <c r="L14" s="1" t="s">
        <v>418</v>
      </c>
      <c r="M14" s="1"/>
      <c r="N14" s="1"/>
      <c r="O14" s="1"/>
      <c r="P14" s="1"/>
      <c r="Q14" s="1"/>
      <c r="R14" s="1"/>
      <c r="S14" s="1"/>
      <c r="T14" s="1"/>
      <c r="U14" s="1"/>
      <c r="V14" s="1"/>
      <c r="W14" s="1"/>
      <c r="X14" s="1" t="s">
        <v>419</v>
      </c>
      <c r="AD14">
        <v>14</v>
      </c>
    </row>
    <row r="15" spans="12:30" ht="14.65" customHeight="1" x14ac:dyDescent="0.15">
      <c r="L15" s="1" t="s">
        <v>90</v>
      </c>
      <c r="M15" s="1" t="s">
        <v>544</v>
      </c>
      <c r="O15" s="1" t="s">
        <v>2349</v>
      </c>
      <c r="P15" s="1"/>
      <c r="Q15" s="1"/>
      <c r="R15" s="1"/>
      <c r="S15" s="1"/>
      <c r="T15" s="1"/>
      <c r="U15" s="1"/>
      <c r="V15" s="1" t="s">
        <v>546</v>
      </c>
      <c r="W15" s="1" t="s">
        <v>1268</v>
      </c>
      <c r="X15" s="1"/>
      <c r="AD15">
        <v>14</v>
      </c>
    </row>
    <row r="16" spans="12:30" ht="35.65" customHeight="1" x14ac:dyDescent="0.15">
      <c r="L16" s="1"/>
      <c r="M16" s="1"/>
      <c r="O16" s="1" t="s">
        <v>549</v>
      </c>
      <c r="P16" s="1" t="s">
        <v>550</v>
      </c>
      <c r="Q16" s="1" t="s">
        <v>551</v>
      </c>
      <c r="R16" s="1"/>
      <c r="S16" s="1" t="s">
        <v>564</v>
      </c>
      <c r="T16" s="1"/>
      <c r="U16" s="1"/>
      <c r="V16" s="1"/>
      <c r="W16" s="1"/>
      <c r="X16" s="1"/>
      <c r="AD16">
        <v>34</v>
      </c>
    </row>
    <row r="17" spans="1:30" ht="35.65" customHeight="1" x14ac:dyDescent="0.15">
      <c r="A17" t="s">
        <v>190</v>
      </c>
      <c r="B17" t="s">
        <v>191</v>
      </c>
      <c r="C17" t="s">
        <v>192</v>
      </c>
      <c r="D17" t="s">
        <v>193</v>
      </c>
      <c r="L17" s="1"/>
      <c r="M17" s="1"/>
      <c r="O17" s="1"/>
      <c r="P17" s="1"/>
      <c r="Q17" t="s">
        <v>560</v>
      </c>
      <c r="R17" t="s">
        <v>561</v>
      </c>
      <c r="S17" t="s">
        <v>562</v>
      </c>
      <c r="T17" s="1" t="s">
        <v>563</v>
      </c>
      <c r="U17" s="1"/>
      <c r="V17" s="1"/>
      <c r="W17" s="1"/>
      <c r="X17" s="1"/>
      <c r="AD17">
        <v>34</v>
      </c>
    </row>
    <row r="18" spans="1:30" ht="11.45" customHeight="1" x14ac:dyDescent="0.15">
      <c r="K18">
        <v>1</v>
      </c>
      <c r="L18" t="s">
        <v>101</v>
      </c>
      <c r="M18" t="s">
        <v>105</v>
      </c>
      <c r="N18" t="str">
        <f ca="1">OFFSET(N18,0,-1)</f>
        <v>2</v>
      </c>
      <c r="O18">
        <f ca="1">OFFSET(O18,0,-1)+1</f>
        <v>3</v>
      </c>
      <c r="Q18">
        <f ca="1">OFFSET(Q18,0,-1)+1</f>
        <v>1</v>
      </c>
      <c r="R18">
        <f ca="1">OFFSET(R18,0,-1)+1</f>
        <v>2</v>
      </c>
      <c r="S18">
        <f ca="1">OFFSET(S18,0,-1)+1</f>
        <v>3</v>
      </c>
      <c r="T18" s="1">
        <f ca="1">OFFSET(T18,0,-1)+1</f>
        <v>4</v>
      </c>
      <c r="U18" s="1"/>
      <c r="V18">
        <f ca="1">OFFSET(V18,0,-2)+1</f>
        <v>5</v>
      </c>
      <c r="W18">
        <f ca="1">OFFSET(W18,0,-1)</f>
        <v>5</v>
      </c>
      <c r="X18">
        <f ca="1">OFFSET(X18,0,-1)+1</f>
        <v>6</v>
      </c>
      <c r="AD18">
        <v>11</v>
      </c>
    </row>
    <row r="19" spans="1:30" ht="21" customHeight="1" x14ac:dyDescent="0.15">
      <c r="A19" t="s">
        <v>219</v>
      </c>
      <c r="B19" t="s">
        <v>220</v>
      </c>
      <c r="C19" t="s">
        <v>221</v>
      </c>
      <c r="D19" t="s">
        <v>222</v>
      </c>
      <c r="L19">
        <f>INDEX(PT_DIFFERENTIATION_NUM_NTAR,MATCH(A19,PT_DIFFERENTIATION_NTAR_ID,0))</f>
        <v>0</v>
      </c>
      <c r="M19" t="s">
        <v>179</v>
      </c>
      <c r="O19" s="1" t="str">
        <f>INDEX(PT_DIFFERENTIATION_NTAR,MATCH(A19,PT_DIFFERENTIATION_NTAR_ID,0))</f>
        <v/>
      </c>
      <c r="P19" s="1"/>
      <c r="Q19" s="1"/>
      <c r="R19" s="1"/>
      <c r="S19" s="1"/>
      <c r="T19" s="1"/>
      <c r="U19" s="1"/>
      <c r="V19" s="1"/>
      <c r="W19" s="1"/>
      <c r="X19" t="s">
        <v>514</v>
      </c>
      <c r="AA19" t="str">
        <f t="shared" ref="AA19:AA32" si="0">IF(M19="","",M19)</f>
        <v>Наименование тарифа</v>
      </c>
      <c r="AD19">
        <v>20</v>
      </c>
    </row>
    <row r="20" spans="1:30" ht="21" customHeight="1" x14ac:dyDescent="0.15">
      <c r="A20" t="s">
        <v>219</v>
      </c>
      <c r="B20" t="s">
        <v>220</v>
      </c>
      <c r="C20" t="s">
        <v>221</v>
      </c>
      <c r="D20" t="s">
        <v>222</v>
      </c>
      <c r="L20" t="str">
        <f>INDEX(PT_DIFFERENTIATION_NUM_TER,MATCH(B19,PT_DIFFERENTIATION_TER_ID,0))</f>
        <v>.</v>
      </c>
      <c r="M20" t="s">
        <v>515</v>
      </c>
      <c r="O20" s="1" t="str">
        <f>INDEX(PT_DIFFERENTIATION_TER,MATCH(B19,PT_DIFFERENTIATION_TER_ID,0))</f>
        <v/>
      </c>
      <c r="P20" s="1"/>
      <c r="Q20" s="1"/>
      <c r="R20" s="1"/>
      <c r="S20" s="1"/>
      <c r="T20" s="1"/>
      <c r="U20" s="1"/>
      <c r="V20" s="1"/>
      <c r="W20" s="1"/>
      <c r="X20" t="s">
        <v>516</v>
      </c>
      <c r="AA20" t="str">
        <f t="shared" si="0"/>
        <v>Территория действия тарифа</v>
      </c>
      <c r="AD20">
        <v>20</v>
      </c>
    </row>
    <row r="21" spans="1:30" ht="24" customHeight="1" x14ac:dyDescent="0.15">
      <c r="A21" t="s">
        <v>219</v>
      </c>
      <c r="B21" t="s">
        <v>220</v>
      </c>
      <c r="C21" t="s">
        <v>221</v>
      </c>
      <c r="D21" t="s">
        <v>222</v>
      </c>
      <c r="L21" t="str">
        <f>INDEX(PT_DIFFERENTIATION_NUM_CS,MATCH(C19,PT_DIFFERENTIATION_CS_ID,0))</f>
        <v>..</v>
      </c>
      <c r="M21" t="s">
        <v>517</v>
      </c>
      <c r="O21" s="1" t="str">
        <f>INDEX(PT_DIFFERENTIATION_CS,MATCH(C19,PT_DIFFERENTIATION_CS_ID,0))</f>
        <v/>
      </c>
      <c r="P21" s="1"/>
      <c r="Q21" s="1"/>
      <c r="R21" s="1"/>
      <c r="S21" s="1"/>
      <c r="T21" s="1"/>
      <c r="U21" s="1"/>
      <c r="V21" s="1"/>
      <c r="W21" s="1"/>
      <c r="X21" t="s">
        <v>518</v>
      </c>
      <c r="AA21" t="str">
        <f t="shared" si="0"/>
        <v xml:space="preserve">Наименование системы теплоснабжения </v>
      </c>
      <c r="AD21">
        <v>23</v>
      </c>
    </row>
    <row r="22" spans="1:30" ht="21" customHeight="1" x14ac:dyDescent="0.15">
      <c r="A22" t="s">
        <v>219</v>
      </c>
      <c r="B22" t="s">
        <v>220</v>
      </c>
      <c r="C22" t="s">
        <v>221</v>
      </c>
      <c r="D22" t="s">
        <v>222</v>
      </c>
      <c r="L22" t="str">
        <f>INDEX(PT_DIFFERENTIATION_NUM_IST_TE,MATCH(D19,PT_DIFFERENTIATION_IST_TE_ID,0))</f>
        <v>...</v>
      </c>
      <c r="M22" t="s">
        <v>519</v>
      </c>
      <c r="O22" s="1" t="str">
        <f>INDEX(PT_DIFFERENTIATION_IST_TE,MATCH(D19,PT_DIFFERENTIATION_IST_TE_ID,0))</f>
        <v/>
      </c>
      <c r="P22" s="1"/>
      <c r="Q22" s="1"/>
      <c r="R22" s="1"/>
      <c r="S22" s="1"/>
      <c r="T22" s="1"/>
      <c r="U22" s="1"/>
      <c r="V22" s="1"/>
      <c r="W22" s="1"/>
      <c r="X22" t="s">
        <v>520</v>
      </c>
      <c r="AA22" t="str">
        <f t="shared" si="0"/>
        <v xml:space="preserve">Источник тепловой энергии  </v>
      </c>
      <c r="AD22">
        <v>20</v>
      </c>
    </row>
    <row r="23" spans="1:30" ht="96.75" customHeight="1" x14ac:dyDescent="0.15">
      <c r="A23" t="s">
        <v>219</v>
      </c>
      <c r="B23" t="s">
        <v>220</v>
      </c>
      <c r="C23" t="s">
        <v>221</v>
      </c>
      <c r="D23" t="s">
        <v>222</v>
      </c>
      <c r="F23" s="1" t="str">
        <f>L22&amp;".1"</f>
        <v>....1</v>
      </c>
      <c r="I23" s="1">
        <v>1</v>
      </c>
      <c r="L23" t="str">
        <f>$F$23</f>
        <v>....1</v>
      </c>
      <c r="M23" t="s">
        <v>522</v>
      </c>
      <c r="O23" s="1"/>
      <c r="P23" s="1"/>
      <c r="Q23" s="1"/>
      <c r="R23" s="1"/>
      <c r="S23" s="1"/>
      <c r="T23" s="1"/>
      <c r="U23" s="1"/>
      <c r="V23" s="1"/>
      <c r="W23" s="1"/>
      <c r="X23" t="s">
        <v>523</v>
      </c>
      <c r="AA23" t="str">
        <f t="shared" si="0"/>
        <v>Схема подключения теплопотребляющей установки к коллектору источника тепловой энергии</v>
      </c>
      <c r="AD23">
        <v>92</v>
      </c>
    </row>
    <row r="24" spans="1:30" ht="86.25" customHeight="1" x14ac:dyDescent="0.15">
      <c r="A24" t="s">
        <v>219</v>
      </c>
      <c r="B24" t="s">
        <v>220</v>
      </c>
      <c r="C24" t="s">
        <v>221</v>
      </c>
      <c r="D24" t="s">
        <v>222</v>
      </c>
      <c r="F24" s="1"/>
      <c r="G24" s="1" t="str">
        <f>F23&amp;".1"</f>
        <v>....1.1</v>
      </c>
      <c r="I24" s="1"/>
      <c r="J24" s="1">
        <v>1</v>
      </c>
      <c r="L24" t="str">
        <f>$G$24</f>
        <v>....1.1</v>
      </c>
      <c r="M24" t="s">
        <v>525</v>
      </c>
      <c r="O24" s="1"/>
      <c r="P24" s="1"/>
      <c r="Q24" s="1"/>
      <c r="R24" s="1"/>
      <c r="S24" s="1"/>
      <c r="T24" s="1"/>
      <c r="U24" s="1"/>
      <c r="V24" s="1"/>
      <c r="W24" s="1"/>
      <c r="X24" t="s">
        <v>526</v>
      </c>
      <c r="AA24" t="str">
        <f t="shared" si="0"/>
        <v>Группа потребителей</v>
      </c>
      <c r="AD24">
        <v>82</v>
      </c>
    </row>
    <row r="25" spans="1:30" ht="11.45" customHeight="1" x14ac:dyDescent="0.15">
      <c r="A25" t="s">
        <v>219</v>
      </c>
      <c r="B25" t="s">
        <v>220</v>
      </c>
      <c r="C25" t="s">
        <v>221</v>
      </c>
      <c r="D25" t="s">
        <v>222</v>
      </c>
      <c r="F25" s="1"/>
      <c r="G25" s="1"/>
      <c r="H25" s="1" t="str">
        <f>G24&amp;".1"</f>
        <v>....1.1.1</v>
      </c>
      <c r="I25" s="1"/>
      <c r="J25" s="1"/>
      <c r="K25">
        <v>1</v>
      </c>
      <c r="L25" t="str">
        <f>$H$25</f>
        <v>....1.1.1</v>
      </c>
      <c r="S25" s="1"/>
      <c r="T25" s="1" t="s">
        <v>63</v>
      </c>
      <c r="U25" s="1"/>
      <c r="V25" s="1" t="s">
        <v>19</v>
      </c>
      <c r="X25" s="1" t="s">
        <v>528</v>
      </c>
      <c r="Y25" t="e">
        <f ca="1">STRCHECKDATE(O26:W26)</f>
        <v>#NAME?</v>
      </c>
      <c r="AA25" t="str">
        <f t="shared" si="0"/>
        <v/>
      </c>
      <c r="AD25">
        <v>11</v>
      </c>
    </row>
    <row r="26" spans="1:30" ht="11.45" customHeight="1" x14ac:dyDescent="0.15">
      <c r="A26" t="s">
        <v>219</v>
      </c>
      <c r="B26" t="s">
        <v>220</v>
      </c>
      <c r="C26" t="s">
        <v>221</v>
      </c>
      <c r="D26" t="s">
        <v>222</v>
      </c>
      <c r="F26" s="1"/>
      <c r="G26" s="1"/>
      <c r="H26" s="1"/>
      <c r="I26" s="1"/>
      <c r="J26" s="1"/>
      <c r="R26" t="str">
        <f>S25&amp;"-"&amp;U25</f>
        <v>-</v>
      </c>
      <c r="S26" s="1"/>
      <c r="T26" s="1"/>
      <c r="U26" s="1"/>
      <c r="V26" s="1"/>
      <c r="X26" s="1"/>
      <c r="AA26" t="str">
        <f t="shared" si="0"/>
        <v/>
      </c>
      <c r="AD26">
        <v>11</v>
      </c>
    </row>
    <row r="27" spans="1:30" ht="15.75" customHeight="1" x14ac:dyDescent="0.15">
      <c r="A27" t="s">
        <v>219</v>
      </c>
      <c r="B27" t="s">
        <v>220</v>
      </c>
      <c r="C27" t="s">
        <v>221</v>
      </c>
      <c r="D27" t="s">
        <v>222</v>
      </c>
      <c r="F27" s="1"/>
      <c r="G27" s="1"/>
      <c r="I27" s="1"/>
      <c r="J27" s="1"/>
      <c r="M27" t="s">
        <v>529</v>
      </c>
      <c r="X27" s="1"/>
      <c r="AA27" t="str">
        <f t="shared" si="0"/>
        <v>Добавить вид теплоносителя (параметры теплоносителя)</v>
      </c>
      <c r="AD27">
        <v>15</v>
      </c>
    </row>
    <row r="28" spans="1:30" ht="15.75" customHeight="1" x14ac:dyDescent="0.15">
      <c r="A28" t="s">
        <v>219</v>
      </c>
      <c r="B28" t="s">
        <v>220</v>
      </c>
      <c r="C28" t="s">
        <v>221</v>
      </c>
      <c r="D28" t="s">
        <v>222</v>
      </c>
      <c r="F28" s="1"/>
      <c r="I28" s="1"/>
      <c r="M28" t="s">
        <v>530</v>
      </c>
      <c r="AA28" t="str">
        <f t="shared" si="0"/>
        <v>Добавить группу потребителей</v>
      </c>
      <c r="AD28">
        <v>15</v>
      </c>
    </row>
    <row r="29" spans="1:30" ht="14.65" customHeight="1" x14ac:dyDescent="0.15">
      <c r="A29" t="s">
        <v>219</v>
      </c>
      <c r="B29" t="s">
        <v>220</v>
      </c>
      <c r="C29" t="s">
        <v>221</v>
      </c>
      <c r="D29" t="s">
        <v>222</v>
      </c>
      <c r="M29" t="s">
        <v>531</v>
      </c>
      <c r="AA29" t="str">
        <f t="shared" si="0"/>
        <v>Добавить схему подключения</v>
      </c>
      <c r="AD29">
        <v>14</v>
      </c>
    </row>
    <row r="30" spans="1:30" ht="14.65" customHeight="1" x14ac:dyDescent="0.15">
      <c r="A30" t="s">
        <v>219</v>
      </c>
      <c r="B30" t="s">
        <v>220</v>
      </c>
      <c r="C30" t="s">
        <v>221</v>
      </c>
      <c r="E30" t="s">
        <v>703</v>
      </c>
      <c r="AA30" t="str">
        <f t="shared" si="0"/>
        <v/>
      </c>
      <c r="AD30">
        <v>14</v>
      </c>
    </row>
    <row r="31" spans="1:30" ht="14.65" customHeight="1" x14ac:dyDescent="0.15">
      <c r="A31" t="s">
        <v>219</v>
      </c>
      <c r="B31" t="s">
        <v>220</v>
      </c>
      <c r="E31" t="s">
        <v>2350</v>
      </c>
      <c r="AA31" t="str">
        <f t="shared" si="0"/>
        <v/>
      </c>
      <c r="AD31">
        <v>14</v>
      </c>
    </row>
    <row r="32" spans="1:30" ht="14.65" customHeight="1" x14ac:dyDescent="0.15">
      <c r="A32" t="s">
        <v>2351</v>
      </c>
      <c r="E32" t="s">
        <v>164</v>
      </c>
      <c r="AA32" t="str">
        <f t="shared" si="0"/>
        <v/>
      </c>
      <c r="AD32">
        <v>14</v>
      </c>
    </row>
    <row r="33" spans="1:30" ht="11.45" customHeight="1" x14ac:dyDescent="0.15">
      <c r="E33" t="s">
        <v>386</v>
      </c>
      <c r="AD33">
        <v>11</v>
      </c>
    </row>
    <row r="34" spans="1:30" ht="11.45" customHeight="1" x14ac:dyDescent="0.15">
      <c r="AD34">
        <v>11</v>
      </c>
    </row>
    <row r="35" spans="1:30" ht="28.5" customHeight="1" x14ac:dyDescent="0.15">
      <c r="L35" t="s">
        <v>920</v>
      </c>
      <c r="M35" s="1" t="s">
        <v>2352</v>
      </c>
      <c r="N35" s="1"/>
      <c r="O35" s="1"/>
      <c r="P35" s="1"/>
      <c r="Q35" s="1"/>
      <c r="R35" s="1"/>
      <c r="S35" s="1"/>
      <c r="T35" s="1"/>
      <c r="U35" s="1"/>
      <c r="V35" s="1"/>
      <c r="W35" s="1"/>
      <c r="X35" s="1"/>
      <c r="AD35">
        <v>27</v>
      </c>
    </row>
    <row r="36" spans="1:30" ht="109.15" customHeight="1" x14ac:dyDescent="0.15">
      <c r="M36" s="1" t="s">
        <v>2353</v>
      </c>
      <c r="N36" s="1"/>
      <c r="O36" s="1"/>
      <c r="P36" s="1"/>
      <c r="Q36" s="1"/>
      <c r="R36" s="1"/>
      <c r="S36" s="1"/>
      <c r="T36" s="1"/>
      <c r="U36" s="1"/>
      <c r="V36" s="1"/>
      <c r="W36" s="1"/>
      <c r="X36" s="1"/>
      <c r="AD36">
        <v>104</v>
      </c>
    </row>
    <row r="37" spans="1:30" ht="14.65" customHeight="1" x14ac:dyDescent="0.15">
      <c r="AD37">
        <v>14</v>
      </c>
    </row>
    <row r="38" spans="1:30" ht="14.65" customHeight="1" x14ac:dyDescent="0.15">
      <c r="AD38">
        <v>14</v>
      </c>
    </row>
    <row r="39" spans="1:30" ht="14.65" customHeight="1" x14ac:dyDescent="0.15">
      <c r="AD39">
        <v>14</v>
      </c>
    </row>
    <row r="40" spans="1:30" ht="14.65" customHeight="1" x14ac:dyDescent="0.15">
      <c r="AD40">
        <v>14</v>
      </c>
    </row>
    <row r="41" spans="1:30" ht="22.5" hidden="1" customHeight="1" x14ac:dyDescent="0.15">
      <c r="A41" t="s">
        <v>84</v>
      </c>
      <c r="B41">
        <v>0</v>
      </c>
      <c r="C41">
        <v>0</v>
      </c>
      <c r="D41">
        <v>0</v>
      </c>
      <c r="E41">
        <v>0</v>
      </c>
      <c r="F41">
        <v>0</v>
      </c>
      <c r="G41">
        <v>0</v>
      </c>
      <c r="H41">
        <v>0</v>
      </c>
      <c r="I41">
        <v>3</v>
      </c>
      <c r="J41">
        <v>3</v>
      </c>
      <c r="K41">
        <v>3</v>
      </c>
      <c r="L41">
        <v>12</v>
      </c>
      <c r="M41">
        <v>31</v>
      </c>
      <c r="N41">
        <v>1</v>
      </c>
      <c r="O41">
        <v>24</v>
      </c>
      <c r="P41">
        <v>24</v>
      </c>
      <c r="Q41">
        <v>24</v>
      </c>
      <c r="R41">
        <v>24</v>
      </c>
      <c r="S41">
        <v>11</v>
      </c>
      <c r="T41">
        <v>3</v>
      </c>
      <c r="U41">
        <v>11</v>
      </c>
      <c r="V41">
        <v>8</v>
      </c>
      <c r="W41">
        <v>4</v>
      </c>
      <c r="X41">
        <v>115</v>
      </c>
      <c r="Y41">
        <v>10</v>
      </c>
      <c r="Z41">
        <v>10</v>
      </c>
      <c r="AA41">
        <v>10</v>
      </c>
      <c r="AB41">
        <v>10</v>
      </c>
      <c r="AC41">
        <v>10</v>
      </c>
      <c r="AD4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x14ac:dyDescent="0.15"/>
  <cols>
    <col min="1" max="1" width="10.5703125" customWidth="1"/>
    <col min="2" max="2" width="8.7109375" customWidth="1"/>
    <col min="3" max="3" width="18.140625" customWidth="1"/>
    <col min="4" max="4" width="12.5703125" customWidth="1"/>
  </cols>
  <sheetData>
    <row r="1" spans="1:5" ht="11.25" customHeight="1" x14ac:dyDescent="0.15">
      <c r="A1" t="s">
        <v>2354</v>
      </c>
      <c r="B1" t="s">
        <v>2355</v>
      </c>
      <c r="C1" s="1" t="s">
        <v>2356</v>
      </c>
      <c r="D1" s="1"/>
      <c r="E1" t="s">
        <v>2357</v>
      </c>
    </row>
    <row r="2" spans="1:5" ht="11.25" customHeight="1" x14ac:dyDescent="0.15">
      <c r="B2" t="s">
        <v>26</v>
      </c>
    </row>
    <row r="3" spans="1:5" ht="11.25" customHeight="1" x14ac:dyDescent="0.15">
      <c r="B3" t="s">
        <v>33</v>
      </c>
    </row>
    <row r="4" spans="1:5" ht="11.25" customHeight="1" x14ac:dyDescent="0.15">
      <c r="B4" t="s">
        <v>1780</v>
      </c>
    </row>
    <row r="5" spans="1:5" ht="11.25" customHeight="1" x14ac:dyDescent="0.15">
      <c r="B5" t="s">
        <v>1775</v>
      </c>
      <c r="C5" t="s">
        <v>2121</v>
      </c>
      <c r="D5" t="s">
        <v>2358</v>
      </c>
    </row>
    <row r="6" spans="1:5" ht="11.25" customHeight="1" x14ac:dyDescent="0.15">
      <c r="B6" t="s">
        <v>1784</v>
      </c>
    </row>
    <row r="7" spans="1:5" ht="11.25" customHeight="1" x14ac:dyDescent="0.15">
      <c r="B7" t="s">
        <v>1792</v>
      </c>
    </row>
    <row r="8" spans="1:5" ht="11.25" customHeight="1" x14ac:dyDescent="0.15">
      <c r="B8" t="s">
        <v>1787</v>
      </c>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7"/>
  <sheetViews>
    <sheetView showGridLines="0" workbookViewId="0"/>
  </sheetViews>
  <sheetFormatPr defaultColWidth="9.140625" defaultRowHeight="11.25" customHeight="1" x14ac:dyDescent="0.15"/>
  <cols>
    <col min="3" max="3" width="20.7109375" customWidth="1"/>
    <col min="4" max="4" width="25.140625" customWidth="1"/>
  </cols>
  <sheetData>
    <row r="1" spans="1:9" ht="11.25" customHeight="1" x14ac:dyDescent="0.15">
      <c r="A1" t="s">
        <v>2359</v>
      </c>
      <c r="B1" t="s">
        <v>2360</v>
      </c>
      <c r="C1" t="s">
        <v>2361</v>
      </c>
      <c r="D1" t="s">
        <v>2362</v>
      </c>
      <c r="E1" t="s">
        <v>2363</v>
      </c>
      <c r="F1" t="s">
        <v>2364</v>
      </c>
      <c r="G1" t="s">
        <v>2365</v>
      </c>
      <c r="H1" t="s">
        <v>2366</v>
      </c>
      <c r="I1" t="s">
        <v>2367</v>
      </c>
    </row>
    <row r="2" spans="1:9" ht="11.25" customHeight="1" x14ac:dyDescent="0.15">
      <c r="A2" t="s">
        <v>2368</v>
      </c>
      <c r="B2" t="s">
        <v>16</v>
      </c>
      <c r="C2" t="s">
        <v>28</v>
      </c>
      <c r="D2" t="s">
        <v>2369</v>
      </c>
      <c r="E2" t="s">
        <v>2370</v>
      </c>
      <c r="F2" t="s">
        <v>2371</v>
      </c>
      <c r="G2" t="s">
        <v>28</v>
      </c>
      <c r="H2" t="s">
        <v>28</v>
      </c>
      <c r="I2" t="s">
        <v>924</v>
      </c>
    </row>
    <row r="3" spans="1:9" ht="11.25" customHeight="1" x14ac:dyDescent="0.15">
      <c r="A3" t="s">
        <v>2368</v>
      </c>
      <c r="B3" t="s">
        <v>16</v>
      </c>
      <c r="C3" t="s">
        <v>2372</v>
      </c>
      <c r="D3" t="s">
        <v>2373</v>
      </c>
      <c r="E3" t="s">
        <v>2374</v>
      </c>
      <c r="F3" t="s">
        <v>2375</v>
      </c>
      <c r="G3" t="s">
        <v>28</v>
      </c>
      <c r="H3" t="s">
        <v>28</v>
      </c>
      <c r="I3" t="s">
        <v>924</v>
      </c>
    </row>
    <row r="4" spans="1:9" ht="11.25" customHeight="1" x14ac:dyDescent="0.15">
      <c r="A4" t="s">
        <v>2368</v>
      </c>
      <c r="B4" t="s">
        <v>16</v>
      </c>
      <c r="C4" t="s">
        <v>2376</v>
      </c>
      <c r="D4" t="s">
        <v>2377</v>
      </c>
      <c r="E4" t="s">
        <v>2378</v>
      </c>
      <c r="F4" t="s">
        <v>2379</v>
      </c>
      <c r="G4" t="s">
        <v>28</v>
      </c>
      <c r="H4" t="s">
        <v>28</v>
      </c>
      <c r="I4" t="s">
        <v>924</v>
      </c>
    </row>
    <row r="5" spans="1:9" ht="11.25" customHeight="1" x14ac:dyDescent="0.15">
      <c r="A5" t="s">
        <v>2368</v>
      </c>
      <c r="B5" t="s">
        <v>16</v>
      </c>
      <c r="C5" t="s">
        <v>2380</v>
      </c>
      <c r="D5" t="s">
        <v>2381</v>
      </c>
      <c r="E5" t="s">
        <v>2382</v>
      </c>
      <c r="F5" t="s">
        <v>2383</v>
      </c>
      <c r="G5" t="s">
        <v>28</v>
      </c>
      <c r="H5" t="s">
        <v>28</v>
      </c>
      <c r="I5" t="s">
        <v>924</v>
      </c>
    </row>
    <row r="6" spans="1:9" ht="11.25" customHeight="1" x14ac:dyDescent="0.15">
      <c r="A6" t="s">
        <v>2368</v>
      </c>
      <c r="B6" t="s">
        <v>16</v>
      </c>
      <c r="C6" t="s">
        <v>2384</v>
      </c>
      <c r="D6" t="s">
        <v>2385</v>
      </c>
      <c r="E6" t="s">
        <v>2386</v>
      </c>
      <c r="F6" t="s">
        <v>2387</v>
      </c>
      <c r="G6" t="s">
        <v>28</v>
      </c>
      <c r="H6" t="s">
        <v>28</v>
      </c>
      <c r="I6" t="s">
        <v>924</v>
      </c>
    </row>
    <row r="7" spans="1:9" ht="11.25" customHeight="1" x14ac:dyDescent="0.15">
      <c r="A7" t="s">
        <v>2368</v>
      </c>
      <c r="B7" t="s">
        <v>16</v>
      </c>
      <c r="C7" t="s">
        <v>2388</v>
      </c>
      <c r="D7" t="s">
        <v>2385</v>
      </c>
      <c r="E7" t="s">
        <v>2386</v>
      </c>
      <c r="F7" t="s">
        <v>2389</v>
      </c>
      <c r="G7" t="s">
        <v>2390</v>
      </c>
      <c r="H7" t="s">
        <v>28</v>
      </c>
      <c r="I7" t="s">
        <v>924</v>
      </c>
    </row>
    <row r="8" spans="1:9" ht="11.25" customHeight="1" x14ac:dyDescent="0.15">
      <c r="A8" t="s">
        <v>2368</v>
      </c>
      <c r="B8" t="s">
        <v>16</v>
      </c>
      <c r="C8" t="s">
        <v>2391</v>
      </c>
      <c r="D8" t="s">
        <v>2392</v>
      </c>
      <c r="E8" t="s">
        <v>2386</v>
      </c>
      <c r="F8" t="s">
        <v>2393</v>
      </c>
      <c r="G8" t="s">
        <v>28</v>
      </c>
      <c r="H8" t="s">
        <v>28</v>
      </c>
      <c r="I8" t="s">
        <v>924</v>
      </c>
    </row>
    <row r="9" spans="1:9" ht="11.25" customHeight="1" x14ac:dyDescent="0.15">
      <c r="A9" t="s">
        <v>2368</v>
      </c>
      <c r="B9" t="s">
        <v>16</v>
      </c>
      <c r="C9" t="s">
        <v>2394</v>
      </c>
      <c r="D9" t="s">
        <v>2395</v>
      </c>
      <c r="E9" t="s">
        <v>2386</v>
      </c>
      <c r="F9" t="s">
        <v>2396</v>
      </c>
      <c r="G9" t="s">
        <v>28</v>
      </c>
      <c r="H9" t="s">
        <v>28</v>
      </c>
      <c r="I9" t="s">
        <v>924</v>
      </c>
    </row>
    <row r="10" spans="1:9" ht="11.25" customHeight="1" x14ac:dyDescent="0.15">
      <c r="A10" t="s">
        <v>2368</v>
      </c>
      <c r="B10" t="s">
        <v>16</v>
      </c>
      <c r="C10" t="s">
        <v>2397</v>
      </c>
      <c r="D10" t="s">
        <v>2398</v>
      </c>
      <c r="E10" t="s">
        <v>2399</v>
      </c>
      <c r="F10" t="s">
        <v>2400</v>
      </c>
      <c r="G10" t="s">
        <v>28</v>
      </c>
      <c r="H10" t="s">
        <v>28</v>
      </c>
      <c r="I10" t="s">
        <v>924</v>
      </c>
    </row>
    <row r="11" spans="1:9" ht="11.25" customHeight="1" x14ac:dyDescent="0.15">
      <c r="A11" t="s">
        <v>2368</v>
      </c>
      <c r="B11" t="s">
        <v>16</v>
      </c>
      <c r="C11" t="s">
        <v>2401</v>
      </c>
      <c r="D11" t="s">
        <v>2402</v>
      </c>
      <c r="E11" t="s">
        <v>2403</v>
      </c>
      <c r="F11" t="s">
        <v>2404</v>
      </c>
      <c r="G11" t="s">
        <v>28</v>
      </c>
      <c r="H11" t="s">
        <v>28</v>
      </c>
      <c r="I11" t="s">
        <v>924</v>
      </c>
    </row>
    <row r="12" spans="1:9" ht="11.25" customHeight="1" x14ac:dyDescent="0.15">
      <c r="A12" t="s">
        <v>2368</v>
      </c>
      <c r="B12" t="s">
        <v>16</v>
      </c>
      <c r="C12" t="s">
        <v>2405</v>
      </c>
      <c r="D12" t="s">
        <v>2406</v>
      </c>
      <c r="E12" t="s">
        <v>2407</v>
      </c>
      <c r="F12" t="s">
        <v>2408</v>
      </c>
      <c r="G12" t="s">
        <v>28</v>
      </c>
      <c r="H12" t="s">
        <v>28</v>
      </c>
      <c r="I12" t="s">
        <v>924</v>
      </c>
    </row>
    <row r="13" spans="1:9" ht="11.25" customHeight="1" x14ac:dyDescent="0.15">
      <c r="A13" t="s">
        <v>2368</v>
      </c>
      <c r="B13" t="s">
        <v>16</v>
      </c>
      <c r="C13" t="s">
        <v>2409</v>
      </c>
      <c r="D13" t="s">
        <v>2410</v>
      </c>
      <c r="E13" t="s">
        <v>2411</v>
      </c>
      <c r="F13" t="s">
        <v>2412</v>
      </c>
      <c r="G13" t="s">
        <v>28</v>
      </c>
      <c r="H13" t="s">
        <v>28</v>
      </c>
      <c r="I13" t="s">
        <v>924</v>
      </c>
    </row>
    <row r="14" spans="1:9" ht="11.25" customHeight="1" x14ac:dyDescent="0.15">
      <c r="A14" t="s">
        <v>2368</v>
      </c>
      <c r="B14" t="s">
        <v>16</v>
      </c>
      <c r="C14" t="s">
        <v>2413</v>
      </c>
      <c r="D14" t="s">
        <v>2414</v>
      </c>
      <c r="E14" t="s">
        <v>2415</v>
      </c>
      <c r="F14" t="s">
        <v>2416</v>
      </c>
      <c r="G14" t="s">
        <v>2417</v>
      </c>
      <c r="H14" t="s">
        <v>28</v>
      </c>
      <c r="I14" t="s">
        <v>924</v>
      </c>
    </row>
    <row r="15" spans="1:9" ht="11.25" customHeight="1" x14ac:dyDescent="0.15">
      <c r="A15" t="s">
        <v>2368</v>
      </c>
      <c r="B15" t="s">
        <v>16</v>
      </c>
      <c r="C15" t="s">
        <v>2418</v>
      </c>
      <c r="D15" t="s">
        <v>2419</v>
      </c>
      <c r="E15" t="s">
        <v>2420</v>
      </c>
      <c r="F15" t="s">
        <v>2379</v>
      </c>
      <c r="G15" t="s">
        <v>28</v>
      </c>
      <c r="H15" t="s">
        <v>28</v>
      </c>
      <c r="I15" t="s">
        <v>924</v>
      </c>
    </row>
    <row r="16" spans="1:9" ht="11.25" customHeight="1" x14ac:dyDescent="0.15">
      <c r="A16" t="s">
        <v>2368</v>
      </c>
      <c r="B16" t="s">
        <v>16</v>
      </c>
      <c r="C16" t="s">
        <v>2421</v>
      </c>
      <c r="D16" t="s">
        <v>2422</v>
      </c>
      <c r="E16" t="s">
        <v>2423</v>
      </c>
      <c r="F16" t="s">
        <v>2424</v>
      </c>
      <c r="G16" t="s">
        <v>28</v>
      </c>
      <c r="H16" t="s">
        <v>28</v>
      </c>
      <c r="I16" t="s">
        <v>924</v>
      </c>
    </row>
    <row r="17" spans="1:9" ht="11.25" customHeight="1" x14ac:dyDescent="0.15">
      <c r="A17" t="s">
        <v>2368</v>
      </c>
      <c r="B17" t="s">
        <v>16</v>
      </c>
      <c r="C17" t="s">
        <v>2425</v>
      </c>
      <c r="D17" t="s">
        <v>2426</v>
      </c>
      <c r="E17" t="s">
        <v>2427</v>
      </c>
      <c r="F17" t="s">
        <v>2428</v>
      </c>
      <c r="G17" t="s">
        <v>2429</v>
      </c>
      <c r="H17" t="s">
        <v>28</v>
      </c>
      <c r="I17" t="s">
        <v>924</v>
      </c>
    </row>
    <row r="18" spans="1:9" ht="11.25" customHeight="1" x14ac:dyDescent="0.15">
      <c r="A18" t="s">
        <v>2368</v>
      </c>
      <c r="B18" t="s">
        <v>16</v>
      </c>
      <c r="C18" t="s">
        <v>2430</v>
      </c>
      <c r="D18" t="s">
        <v>2431</v>
      </c>
      <c r="E18" t="s">
        <v>2432</v>
      </c>
      <c r="F18" t="s">
        <v>2433</v>
      </c>
      <c r="G18" t="s">
        <v>2434</v>
      </c>
      <c r="H18" t="s">
        <v>28</v>
      </c>
      <c r="I18" t="s">
        <v>924</v>
      </c>
    </row>
    <row r="19" spans="1:9" ht="11.25" customHeight="1" x14ac:dyDescent="0.15">
      <c r="A19" t="s">
        <v>2368</v>
      </c>
      <c r="B19" t="s">
        <v>16</v>
      </c>
      <c r="C19" t="s">
        <v>2435</v>
      </c>
      <c r="D19" t="s">
        <v>2436</v>
      </c>
      <c r="E19" t="s">
        <v>2437</v>
      </c>
      <c r="F19" t="s">
        <v>2400</v>
      </c>
      <c r="G19" t="s">
        <v>28</v>
      </c>
      <c r="H19" t="s">
        <v>28</v>
      </c>
      <c r="I19" t="s">
        <v>924</v>
      </c>
    </row>
    <row r="20" spans="1:9" ht="11.25" customHeight="1" x14ac:dyDescent="0.15">
      <c r="A20" t="s">
        <v>2368</v>
      </c>
      <c r="B20" t="s">
        <v>16</v>
      </c>
      <c r="C20" t="s">
        <v>2438</v>
      </c>
      <c r="D20" t="s">
        <v>2439</v>
      </c>
      <c r="E20" t="s">
        <v>2440</v>
      </c>
      <c r="F20" t="s">
        <v>2441</v>
      </c>
      <c r="G20" t="s">
        <v>28</v>
      </c>
      <c r="H20" t="s">
        <v>28</v>
      </c>
      <c r="I20" t="s">
        <v>924</v>
      </c>
    </row>
    <row r="21" spans="1:9" ht="11.25" customHeight="1" x14ac:dyDescent="0.15">
      <c r="A21" t="s">
        <v>2368</v>
      </c>
      <c r="B21" t="s">
        <v>16</v>
      </c>
      <c r="C21" t="s">
        <v>2442</v>
      </c>
      <c r="D21" t="s">
        <v>2443</v>
      </c>
      <c r="E21" t="s">
        <v>2444</v>
      </c>
      <c r="F21" t="s">
        <v>2412</v>
      </c>
      <c r="G21" t="s">
        <v>2445</v>
      </c>
      <c r="H21" t="s">
        <v>28</v>
      </c>
      <c r="I21" t="s">
        <v>924</v>
      </c>
    </row>
    <row r="22" spans="1:9" ht="11.25" customHeight="1" x14ac:dyDescent="0.15">
      <c r="A22" t="s">
        <v>2368</v>
      </c>
      <c r="B22" t="s">
        <v>16</v>
      </c>
      <c r="C22" t="s">
        <v>2446</v>
      </c>
      <c r="D22" t="s">
        <v>2447</v>
      </c>
      <c r="E22" t="s">
        <v>2448</v>
      </c>
      <c r="F22" t="s">
        <v>2449</v>
      </c>
      <c r="G22" t="s">
        <v>28</v>
      </c>
      <c r="H22" t="s">
        <v>28</v>
      </c>
      <c r="I22" t="s">
        <v>924</v>
      </c>
    </row>
    <row r="23" spans="1:9" ht="11.25" customHeight="1" x14ac:dyDescent="0.15">
      <c r="A23" t="s">
        <v>2368</v>
      </c>
      <c r="B23" t="s">
        <v>16</v>
      </c>
      <c r="C23" t="s">
        <v>2450</v>
      </c>
      <c r="D23" t="s">
        <v>2451</v>
      </c>
      <c r="E23" t="s">
        <v>2452</v>
      </c>
      <c r="F23" t="s">
        <v>2371</v>
      </c>
      <c r="G23" t="s">
        <v>2453</v>
      </c>
      <c r="H23" t="s">
        <v>28</v>
      </c>
      <c r="I23" t="s">
        <v>924</v>
      </c>
    </row>
    <row r="24" spans="1:9" ht="11.25" customHeight="1" x14ac:dyDescent="0.15">
      <c r="A24" t="s">
        <v>2368</v>
      </c>
      <c r="B24" t="s">
        <v>16</v>
      </c>
      <c r="C24" t="s">
        <v>2454</v>
      </c>
      <c r="D24" t="s">
        <v>2455</v>
      </c>
      <c r="E24" t="s">
        <v>2456</v>
      </c>
      <c r="F24" t="s">
        <v>2457</v>
      </c>
      <c r="G24" t="s">
        <v>28</v>
      </c>
      <c r="H24" t="s">
        <v>28</v>
      </c>
      <c r="I24" t="s">
        <v>924</v>
      </c>
    </row>
    <row r="25" spans="1:9" ht="11.25" customHeight="1" x14ac:dyDescent="0.15">
      <c r="A25" t="s">
        <v>2368</v>
      </c>
      <c r="B25" t="s">
        <v>16</v>
      </c>
      <c r="C25" t="s">
        <v>2458</v>
      </c>
      <c r="D25" t="s">
        <v>2459</v>
      </c>
      <c r="E25" t="s">
        <v>2460</v>
      </c>
      <c r="F25" t="s">
        <v>2412</v>
      </c>
      <c r="G25" t="s">
        <v>28</v>
      </c>
      <c r="H25" t="s">
        <v>28</v>
      </c>
      <c r="I25" t="s">
        <v>924</v>
      </c>
    </row>
    <row r="26" spans="1:9" ht="11.25" customHeight="1" x14ac:dyDescent="0.15">
      <c r="A26" t="s">
        <v>2368</v>
      </c>
      <c r="B26" t="s">
        <v>16</v>
      </c>
      <c r="C26" t="s">
        <v>2461</v>
      </c>
      <c r="D26" t="s">
        <v>2462</v>
      </c>
      <c r="E26" t="s">
        <v>2463</v>
      </c>
      <c r="F26" t="s">
        <v>2371</v>
      </c>
      <c r="G26" t="s">
        <v>28</v>
      </c>
      <c r="H26" t="s">
        <v>28</v>
      </c>
      <c r="I26" t="s">
        <v>924</v>
      </c>
    </row>
    <row r="27" spans="1:9" ht="11.25" customHeight="1" x14ac:dyDescent="0.15">
      <c r="A27" t="s">
        <v>2368</v>
      </c>
      <c r="B27" t="s">
        <v>16</v>
      </c>
      <c r="C27" t="s">
        <v>2464</v>
      </c>
      <c r="D27" t="s">
        <v>2465</v>
      </c>
      <c r="E27" t="s">
        <v>2466</v>
      </c>
      <c r="F27" t="s">
        <v>2467</v>
      </c>
      <c r="G27" t="s">
        <v>28</v>
      </c>
      <c r="H27" t="s">
        <v>28</v>
      </c>
      <c r="I27" t="s">
        <v>924</v>
      </c>
    </row>
    <row r="28" spans="1:9" ht="11.25" customHeight="1" x14ac:dyDescent="0.15">
      <c r="A28" t="s">
        <v>2368</v>
      </c>
      <c r="B28" t="s">
        <v>16</v>
      </c>
      <c r="C28" t="s">
        <v>2468</v>
      </c>
      <c r="D28" t="s">
        <v>2469</v>
      </c>
      <c r="E28" t="s">
        <v>2470</v>
      </c>
      <c r="F28" t="s">
        <v>2471</v>
      </c>
      <c r="G28" t="s">
        <v>28</v>
      </c>
      <c r="H28" t="s">
        <v>28</v>
      </c>
      <c r="I28" t="s">
        <v>924</v>
      </c>
    </row>
    <row r="29" spans="1:9" ht="11.25" customHeight="1" x14ac:dyDescent="0.15">
      <c r="A29" t="s">
        <v>2368</v>
      </c>
      <c r="B29" t="s">
        <v>16</v>
      </c>
      <c r="C29" t="s">
        <v>2472</v>
      </c>
      <c r="D29" t="s">
        <v>2473</v>
      </c>
      <c r="E29" t="s">
        <v>2470</v>
      </c>
      <c r="F29" t="s">
        <v>2474</v>
      </c>
      <c r="G29" t="s">
        <v>28</v>
      </c>
      <c r="H29" t="s">
        <v>28</v>
      </c>
      <c r="I29" t="s">
        <v>924</v>
      </c>
    </row>
    <row r="30" spans="1:9" ht="11.25" customHeight="1" x14ac:dyDescent="0.15">
      <c r="A30" t="s">
        <v>2368</v>
      </c>
      <c r="B30" t="s">
        <v>16</v>
      </c>
      <c r="C30" t="s">
        <v>2475</v>
      </c>
      <c r="D30" t="s">
        <v>2476</v>
      </c>
      <c r="E30" t="s">
        <v>2477</v>
      </c>
      <c r="F30" t="s">
        <v>2478</v>
      </c>
      <c r="G30" t="s">
        <v>28</v>
      </c>
      <c r="H30" t="s">
        <v>28</v>
      </c>
      <c r="I30" t="s">
        <v>924</v>
      </c>
    </row>
    <row r="31" spans="1:9" ht="11.25" customHeight="1" x14ac:dyDescent="0.15">
      <c r="A31" t="s">
        <v>2368</v>
      </c>
      <c r="B31" t="s">
        <v>16</v>
      </c>
      <c r="C31" t="s">
        <v>2479</v>
      </c>
      <c r="D31" t="s">
        <v>2480</v>
      </c>
      <c r="E31" t="s">
        <v>2481</v>
      </c>
      <c r="F31" t="s">
        <v>2441</v>
      </c>
      <c r="G31" t="s">
        <v>2482</v>
      </c>
      <c r="H31" t="s">
        <v>28</v>
      </c>
      <c r="I31" t="s">
        <v>924</v>
      </c>
    </row>
    <row r="32" spans="1:9" ht="11.25" customHeight="1" x14ac:dyDescent="0.15">
      <c r="A32" t="s">
        <v>2368</v>
      </c>
      <c r="B32" t="s">
        <v>16</v>
      </c>
      <c r="C32" t="s">
        <v>2483</v>
      </c>
      <c r="D32" t="s">
        <v>2484</v>
      </c>
      <c r="E32" t="s">
        <v>2485</v>
      </c>
      <c r="F32" t="s">
        <v>2424</v>
      </c>
      <c r="G32" t="s">
        <v>28</v>
      </c>
      <c r="H32" t="s">
        <v>28</v>
      </c>
      <c r="I32" t="s">
        <v>924</v>
      </c>
    </row>
    <row r="33" spans="1:9" ht="11.25" customHeight="1" x14ac:dyDescent="0.15">
      <c r="A33" t="s">
        <v>2368</v>
      </c>
      <c r="B33" t="s">
        <v>16</v>
      </c>
      <c r="C33" t="s">
        <v>2486</v>
      </c>
      <c r="D33" t="s">
        <v>2487</v>
      </c>
      <c r="E33" t="s">
        <v>2488</v>
      </c>
      <c r="F33" t="s">
        <v>2412</v>
      </c>
      <c r="G33" t="s">
        <v>28</v>
      </c>
      <c r="H33" t="s">
        <v>28</v>
      </c>
      <c r="I33" t="s">
        <v>924</v>
      </c>
    </row>
    <row r="34" spans="1:9" ht="11.25" customHeight="1" x14ac:dyDescent="0.15">
      <c r="A34" t="s">
        <v>2368</v>
      </c>
      <c r="B34" t="s">
        <v>16</v>
      </c>
      <c r="C34" t="s">
        <v>2489</v>
      </c>
      <c r="D34" t="s">
        <v>2490</v>
      </c>
      <c r="E34" t="s">
        <v>2491</v>
      </c>
      <c r="F34" t="s">
        <v>692</v>
      </c>
      <c r="G34" t="s">
        <v>2492</v>
      </c>
      <c r="H34" t="s">
        <v>28</v>
      </c>
      <c r="I34" t="s">
        <v>924</v>
      </c>
    </row>
    <row r="35" spans="1:9" ht="11.25" customHeight="1" x14ac:dyDescent="0.15">
      <c r="A35" t="s">
        <v>2368</v>
      </c>
      <c r="B35" t="s">
        <v>16</v>
      </c>
      <c r="C35" t="s">
        <v>2493</v>
      </c>
      <c r="D35" t="s">
        <v>2494</v>
      </c>
      <c r="E35" t="s">
        <v>2495</v>
      </c>
      <c r="F35" t="s">
        <v>2412</v>
      </c>
      <c r="G35" t="s">
        <v>28</v>
      </c>
      <c r="H35" t="s">
        <v>28</v>
      </c>
      <c r="I35" t="s">
        <v>924</v>
      </c>
    </row>
    <row r="36" spans="1:9" ht="11.25" customHeight="1" x14ac:dyDescent="0.15">
      <c r="A36" t="s">
        <v>2368</v>
      </c>
      <c r="B36" t="s">
        <v>16</v>
      </c>
      <c r="C36" t="s">
        <v>2496</v>
      </c>
      <c r="D36" t="s">
        <v>2497</v>
      </c>
      <c r="E36" t="s">
        <v>2498</v>
      </c>
      <c r="F36" t="s">
        <v>2499</v>
      </c>
      <c r="G36" t="s">
        <v>2500</v>
      </c>
      <c r="H36" t="s">
        <v>28</v>
      </c>
      <c r="I36" t="s">
        <v>924</v>
      </c>
    </row>
    <row r="37" spans="1:9" ht="11.25" customHeight="1" x14ac:dyDescent="0.15">
      <c r="A37" t="s">
        <v>2368</v>
      </c>
      <c r="B37" t="s">
        <v>16</v>
      </c>
      <c r="C37" t="s">
        <v>2501</v>
      </c>
      <c r="D37" t="s">
        <v>2502</v>
      </c>
      <c r="E37" t="s">
        <v>2503</v>
      </c>
      <c r="F37" t="s">
        <v>2478</v>
      </c>
      <c r="G37" t="s">
        <v>28</v>
      </c>
      <c r="H37" t="s">
        <v>28</v>
      </c>
      <c r="I37" t="s">
        <v>924</v>
      </c>
    </row>
    <row r="38" spans="1:9" ht="11.25" customHeight="1" x14ac:dyDescent="0.15">
      <c r="A38" t="s">
        <v>2368</v>
      </c>
      <c r="B38" t="s">
        <v>16</v>
      </c>
      <c r="C38" t="s">
        <v>2504</v>
      </c>
      <c r="D38" t="s">
        <v>2505</v>
      </c>
      <c r="E38" t="s">
        <v>2506</v>
      </c>
      <c r="F38" t="s">
        <v>2507</v>
      </c>
      <c r="G38" t="s">
        <v>28</v>
      </c>
      <c r="H38" t="s">
        <v>28</v>
      </c>
      <c r="I38" t="s">
        <v>924</v>
      </c>
    </row>
    <row r="39" spans="1:9" ht="11.25" customHeight="1" x14ac:dyDescent="0.15">
      <c r="A39" t="s">
        <v>2368</v>
      </c>
      <c r="B39" t="s">
        <v>16</v>
      </c>
      <c r="C39" t="s">
        <v>2508</v>
      </c>
      <c r="D39" t="s">
        <v>2509</v>
      </c>
      <c r="E39" t="s">
        <v>2510</v>
      </c>
      <c r="F39" t="s">
        <v>2478</v>
      </c>
      <c r="G39" t="s">
        <v>28</v>
      </c>
      <c r="H39" t="s">
        <v>28</v>
      </c>
      <c r="I39" t="s">
        <v>924</v>
      </c>
    </row>
    <row r="40" spans="1:9" ht="11.25" customHeight="1" x14ac:dyDescent="0.15">
      <c r="A40" t="s">
        <v>2368</v>
      </c>
      <c r="B40" t="s">
        <v>16</v>
      </c>
      <c r="C40" t="s">
        <v>2511</v>
      </c>
      <c r="D40" t="s">
        <v>2512</v>
      </c>
      <c r="E40" t="s">
        <v>2513</v>
      </c>
      <c r="F40" t="s">
        <v>2412</v>
      </c>
      <c r="G40" t="s">
        <v>28</v>
      </c>
      <c r="H40" t="s">
        <v>28</v>
      </c>
      <c r="I40" t="s">
        <v>924</v>
      </c>
    </row>
    <row r="41" spans="1:9" ht="11.25" customHeight="1" x14ac:dyDescent="0.15">
      <c r="A41" t="s">
        <v>2368</v>
      </c>
      <c r="B41" t="s">
        <v>16</v>
      </c>
      <c r="C41" t="s">
        <v>2514</v>
      </c>
      <c r="D41" t="s">
        <v>2515</v>
      </c>
      <c r="E41" t="s">
        <v>2516</v>
      </c>
      <c r="F41" t="s">
        <v>54</v>
      </c>
      <c r="G41" t="s">
        <v>28</v>
      </c>
      <c r="H41" t="s">
        <v>28</v>
      </c>
      <c r="I41" t="s">
        <v>924</v>
      </c>
    </row>
    <row r="42" spans="1:9" ht="11.25" customHeight="1" x14ac:dyDescent="0.15">
      <c r="A42" t="s">
        <v>2368</v>
      </c>
      <c r="B42" t="s">
        <v>16</v>
      </c>
      <c r="C42" t="s">
        <v>13</v>
      </c>
      <c r="D42" t="s">
        <v>49</v>
      </c>
      <c r="E42" t="s">
        <v>52</v>
      </c>
      <c r="F42" t="s">
        <v>54</v>
      </c>
      <c r="G42" t="s">
        <v>28</v>
      </c>
      <c r="H42" t="s">
        <v>28</v>
      </c>
      <c r="I42" t="s">
        <v>924</v>
      </c>
    </row>
    <row r="43" spans="1:9" ht="11.25" customHeight="1" x14ac:dyDescent="0.15">
      <c r="A43" t="s">
        <v>2368</v>
      </c>
      <c r="B43" t="s">
        <v>16</v>
      </c>
      <c r="C43" t="s">
        <v>2517</v>
      </c>
      <c r="D43" t="s">
        <v>2518</v>
      </c>
      <c r="E43" t="s">
        <v>2519</v>
      </c>
      <c r="F43" t="s">
        <v>2379</v>
      </c>
      <c r="G43" t="s">
        <v>2520</v>
      </c>
      <c r="H43" t="s">
        <v>28</v>
      </c>
      <c r="I43" t="s">
        <v>924</v>
      </c>
    </row>
    <row r="44" spans="1:9" ht="11.25" customHeight="1" x14ac:dyDescent="0.15">
      <c r="A44" t="s">
        <v>2368</v>
      </c>
      <c r="B44" t="s">
        <v>16</v>
      </c>
      <c r="C44" t="s">
        <v>2521</v>
      </c>
      <c r="D44" t="s">
        <v>2522</v>
      </c>
      <c r="E44" t="s">
        <v>2523</v>
      </c>
      <c r="F44" t="s">
        <v>2524</v>
      </c>
      <c r="G44" t="s">
        <v>28</v>
      </c>
      <c r="H44" t="s">
        <v>28</v>
      </c>
      <c r="I44" t="s">
        <v>924</v>
      </c>
    </row>
    <row r="45" spans="1:9" ht="11.25" customHeight="1" x14ac:dyDescent="0.15">
      <c r="A45" t="s">
        <v>2368</v>
      </c>
      <c r="B45" t="s">
        <v>16</v>
      </c>
      <c r="C45" t="s">
        <v>2525</v>
      </c>
      <c r="D45" t="s">
        <v>2526</v>
      </c>
      <c r="E45" t="s">
        <v>2527</v>
      </c>
      <c r="F45" t="s">
        <v>2400</v>
      </c>
      <c r="G45" t="s">
        <v>28</v>
      </c>
      <c r="H45" t="s">
        <v>28</v>
      </c>
      <c r="I45" t="s">
        <v>924</v>
      </c>
    </row>
    <row r="46" spans="1:9" ht="11.25" customHeight="1" x14ac:dyDescent="0.15">
      <c r="A46" t="s">
        <v>2368</v>
      </c>
      <c r="B46" t="s">
        <v>16</v>
      </c>
      <c r="C46" t="s">
        <v>2528</v>
      </c>
      <c r="D46" t="s">
        <v>2529</v>
      </c>
      <c r="E46" t="s">
        <v>2530</v>
      </c>
      <c r="F46" t="s">
        <v>2531</v>
      </c>
      <c r="G46" t="s">
        <v>28</v>
      </c>
      <c r="H46" t="s">
        <v>28</v>
      </c>
      <c r="I46" t="s">
        <v>924</v>
      </c>
    </row>
    <row r="47" spans="1:9" ht="11.25" customHeight="1" x14ac:dyDescent="0.15">
      <c r="A47" t="s">
        <v>2368</v>
      </c>
      <c r="B47" t="s">
        <v>16</v>
      </c>
      <c r="C47" t="s">
        <v>2532</v>
      </c>
      <c r="D47" t="s">
        <v>2533</v>
      </c>
      <c r="E47" t="s">
        <v>2534</v>
      </c>
      <c r="F47" t="s">
        <v>2408</v>
      </c>
      <c r="G47" t="s">
        <v>28</v>
      </c>
      <c r="H47" t="s">
        <v>28</v>
      </c>
      <c r="I47" t="s">
        <v>924</v>
      </c>
    </row>
    <row r="48" spans="1:9" ht="11.25" customHeight="1" x14ac:dyDescent="0.15">
      <c r="A48" t="s">
        <v>2368</v>
      </c>
      <c r="B48" t="s">
        <v>16</v>
      </c>
      <c r="C48" t="s">
        <v>2535</v>
      </c>
      <c r="D48" t="s">
        <v>2536</v>
      </c>
      <c r="E48" t="s">
        <v>2537</v>
      </c>
      <c r="F48" t="s">
        <v>2408</v>
      </c>
      <c r="G48" t="s">
        <v>28</v>
      </c>
      <c r="H48" t="s">
        <v>28</v>
      </c>
      <c r="I48" t="s">
        <v>924</v>
      </c>
    </row>
    <row r="49" spans="1:9" ht="11.25" customHeight="1" x14ac:dyDescent="0.15">
      <c r="A49" t="s">
        <v>2368</v>
      </c>
      <c r="B49" t="s">
        <v>16</v>
      </c>
      <c r="C49" t="s">
        <v>2538</v>
      </c>
      <c r="D49" t="s">
        <v>2539</v>
      </c>
      <c r="E49" t="s">
        <v>2540</v>
      </c>
      <c r="F49" t="s">
        <v>2541</v>
      </c>
      <c r="G49" t="s">
        <v>28</v>
      </c>
      <c r="H49" t="s">
        <v>28</v>
      </c>
      <c r="I49" t="s">
        <v>924</v>
      </c>
    </row>
    <row r="50" spans="1:9" ht="11.25" customHeight="1" x14ac:dyDescent="0.15">
      <c r="A50" t="s">
        <v>2368</v>
      </c>
      <c r="B50" t="s">
        <v>16</v>
      </c>
      <c r="C50" t="s">
        <v>2542</v>
      </c>
      <c r="D50" t="s">
        <v>2543</v>
      </c>
      <c r="E50" t="s">
        <v>2544</v>
      </c>
      <c r="F50" t="s">
        <v>2412</v>
      </c>
      <c r="G50" t="s">
        <v>28</v>
      </c>
      <c r="H50" t="s">
        <v>28</v>
      </c>
      <c r="I50" t="s">
        <v>924</v>
      </c>
    </row>
    <row r="51" spans="1:9" ht="11.25" customHeight="1" x14ac:dyDescent="0.15">
      <c r="A51" t="s">
        <v>2368</v>
      </c>
      <c r="B51" t="s">
        <v>16</v>
      </c>
      <c r="C51" t="s">
        <v>2545</v>
      </c>
      <c r="D51" t="s">
        <v>2546</v>
      </c>
      <c r="E51" t="s">
        <v>2547</v>
      </c>
      <c r="F51" t="s">
        <v>2531</v>
      </c>
      <c r="G51" t="s">
        <v>28</v>
      </c>
      <c r="H51" t="s">
        <v>28</v>
      </c>
      <c r="I51" t="s">
        <v>924</v>
      </c>
    </row>
    <row r="52" spans="1:9" ht="11.25" customHeight="1" x14ac:dyDescent="0.15">
      <c r="A52" t="s">
        <v>2368</v>
      </c>
      <c r="B52" t="s">
        <v>16</v>
      </c>
      <c r="C52" t="s">
        <v>2548</v>
      </c>
      <c r="D52" t="s">
        <v>2549</v>
      </c>
      <c r="E52" t="s">
        <v>2550</v>
      </c>
      <c r="F52" t="s">
        <v>2551</v>
      </c>
      <c r="G52" t="s">
        <v>28</v>
      </c>
      <c r="H52" t="s">
        <v>28</v>
      </c>
      <c r="I52" t="s">
        <v>924</v>
      </c>
    </row>
    <row r="53" spans="1:9" ht="11.25" customHeight="1" x14ac:dyDescent="0.15">
      <c r="A53" t="s">
        <v>2368</v>
      </c>
      <c r="B53" t="s">
        <v>16</v>
      </c>
      <c r="C53" t="s">
        <v>2552</v>
      </c>
      <c r="D53" t="s">
        <v>2553</v>
      </c>
      <c r="E53" t="s">
        <v>2554</v>
      </c>
      <c r="F53" t="s">
        <v>54</v>
      </c>
      <c r="G53" t="s">
        <v>28</v>
      </c>
      <c r="H53" t="s">
        <v>28</v>
      </c>
      <c r="I53" t="s">
        <v>924</v>
      </c>
    </row>
    <row r="54" spans="1:9" ht="11.25" customHeight="1" x14ac:dyDescent="0.15">
      <c r="A54" t="s">
        <v>2368</v>
      </c>
      <c r="B54" t="s">
        <v>16</v>
      </c>
      <c r="C54" t="s">
        <v>2555</v>
      </c>
      <c r="D54" t="s">
        <v>2556</v>
      </c>
      <c r="E54" t="s">
        <v>2557</v>
      </c>
      <c r="F54" t="s">
        <v>2558</v>
      </c>
      <c r="G54" t="s">
        <v>28</v>
      </c>
      <c r="H54" t="s">
        <v>28</v>
      </c>
      <c r="I54" t="s">
        <v>924</v>
      </c>
    </row>
    <row r="55" spans="1:9" ht="11.25" customHeight="1" x14ac:dyDescent="0.15">
      <c r="A55" t="s">
        <v>2368</v>
      </c>
      <c r="B55" t="s">
        <v>16</v>
      </c>
      <c r="C55" t="s">
        <v>2559</v>
      </c>
      <c r="D55" t="s">
        <v>2560</v>
      </c>
      <c r="E55" t="s">
        <v>2561</v>
      </c>
      <c r="F55" t="s">
        <v>2424</v>
      </c>
      <c r="G55" t="s">
        <v>28</v>
      </c>
      <c r="H55" t="s">
        <v>28</v>
      </c>
      <c r="I55" t="s">
        <v>924</v>
      </c>
    </row>
    <row r="56" spans="1:9" ht="11.25" customHeight="1" x14ac:dyDescent="0.15">
      <c r="A56" t="s">
        <v>2368</v>
      </c>
      <c r="B56" t="s">
        <v>16</v>
      </c>
      <c r="C56" t="s">
        <v>2562</v>
      </c>
      <c r="D56" t="s">
        <v>2563</v>
      </c>
      <c r="E56" t="s">
        <v>2564</v>
      </c>
      <c r="F56" t="s">
        <v>2565</v>
      </c>
      <c r="G56" t="s">
        <v>28</v>
      </c>
      <c r="H56" t="s">
        <v>28</v>
      </c>
      <c r="I56" t="s">
        <v>924</v>
      </c>
    </row>
    <row r="57" spans="1:9" ht="11.25" customHeight="1" x14ac:dyDescent="0.15">
      <c r="A57" t="s">
        <v>2368</v>
      </c>
      <c r="B57" t="s">
        <v>16</v>
      </c>
      <c r="C57" t="s">
        <v>2566</v>
      </c>
      <c r="D57" t="s">
        <v>2567</v>
      </c>
      <c r="E57" t="s">
        <v>2386</v>
      </c>
      <c r="F57" t="s">
        <v>2568</v>
      </c>
      <c r="G57" t="s">
        <v>28</v>
      </c>
      <c r="H57" t="s">
        <v>28</v>
      </c>
      <c r="I57" t="s">
        <v>924</v>
      </c>
    </row>
    <row r="58" spans="1:9" ht="11.25" customHeight="1" x14ac:dyDescent="0.15">
      <c r="A58" t="s">
        <v>2368</v>
      </c>
      <c r="B58" t="s">
        <v>16</v>
      </c>
      <c r="C58" t="s">
        <v>2569</v>
      </c>
      <c r="D58" t="s">
        <v>2570</v>
      </c>
      <c r="E58" t="s">
        <v>2571</v>
      </c>
      <c r="F58" t="s">
        <v>2572</v>
      </c>
      <c r="G58" t="s">
        <v>28</v>
      </c>
      <c r="H58" t="s">
        <v>28</v>
      </c>
      <c r="I58" t="s">
        <v>924</v>
      </c>
    </row>
    <row r="59" spans="1:9" ht="11.25" customHeight="1" x14ac:dyDescent="0.15">
      <c r="A59" t="s">
        <v>2368</v>
      </c>
      <c r="B59" t="s">
        <v>16</v>
      </c>
      <c r="C59" t="s">
        <v>2573</v>
      </c>
      <c r="D59" t="s">
        <v>2574</v>
      </c>
      <c r="E59" t="s">
        <v>2575</v>
      </c>
      <c r="F59" t="s">
        <v>2572</v>
      </c>
      <c r="G59" t="s">
        <v>28</v>
      </c>
      <c r="H59" t="s">
        <v>28</v>
      </c>
      <c r="I59" t="s">
        <v>924</v>
      </c>
    </row>
    <row r="60" spans="1:9" ht="11.25" customHeight="1" x14ac:dyDescent="0.15">
      <c r="A60" t="s">
        <v>2368</v>
      </c>
      <c r="B60" t="s">
        <v>16</v>
      </c>
      <c r="C60" t="s">
        <v>2576</v>
      </c>
      <c r="D60" t="s">
        <v>2577</v>
      </c>
      <c r="E60" t="s">
        <v>2578</v>
      </c>
      <c r="F60" t="s">
        <v>2412</v>
      </c>
      <c r="G60" t="s">
        <v>28</v>
      </c>
      <c r="H60" t="s">
        <v>2579</v>
      </c>
      <c r="I60" t="s">
        <v>924</v>
      </c>
    </row>
    <row r="61" spans="1:9" ht="11.25" customHeight="1" x14ac:dyDescent="0.15">
      <c r="A61" t="s">
        <v>2368</v>
      </c>
      <c r="B61" t="s">
        <v>16</v>
      </c>
      <c r="C61" t="s">
        <v>2580</v>
      </c>
      <c r="D61" t="s">
        <v>2581</v>
      </c>
      <c r="E61" t="s">
        <v>2470</v>
      </c>
      <c r="F61" t="s">
        <v>2582</v>
      </c>
      <c r="G61" t="s">
        <v>28</v>
      </c>
      <c r="H61" t="s">
        <v>28</v>
      </c>
      <c r="I61" t="s">
        <v>924</v>
      </c>
    </row>
    <row r="62" spans="1:9" ht="11.25" customHeight="1" x14ac:dyDescent="0.15">
      <c r="A62" t="s">
        <v>2368</v>
      </c>
      <c r="B62" t="s">
        <v>16</v>
      </c>
      <c r="C62" t="s">
        <v>2583</v>
      </c>
      <c r="D62" t="s">
        <v>2584</v>
      </c>
      <c r="E62" t="s">
        <v>2585</v>
      </c>
      <c r="F62" t="s">
        <v>2408</v>
      </c>
      <c r="G62" t="s">
        <v>28</v>
      </c>
      <c r="H62" t="s">
        <v>28</v>
      </c>
      <c r="I62" t="s">
        <v>924</v>
      </c>
    </row>
    <row r="63" spans="1:9" ht="11.25" customHeight="1" x14ac:dyDescent="0.15">
      <c r="A63" t="s">
        <v>2368</v>
      </c>
      <c r="B63" t="s">
        <v>16</v>
      </c>
      <c r="C63" t="s">
        <v>2586</v>
      </c>
      <c r="D63" t="s">
        <v>2587</v>
      </c>
      <c r="E63" t="s">
        <v>2588</v>
      </c>
      <c r="F63" t="s">
        <v>2389</v>
      </c>
      <c r="G63" t="s">
        <v>28</v>
      </c>
      <c r="H63" t="s">
        <v>28</v>
      </c>
      <c r="I63" t="s">
        <v>924</v>
      </c>
    </row>
    <row r="64" spans="1:9" ht="11.25" customHeight="1" x14ac:dyDescent="0.15">
      <c r="A64" t="s">
        <v>2368</v>
      </c>
      <c r="B64" t="s">
        <v>16</v>
      </c>
      <c r="C64" t="s">
        <v>2589</v>
      </c>
      <c r="D64" t="s">
        <v>2590</v>
      </c>
      <c r="E64" t="s">
        <v>2591</v>
      </c>
      <c r="F64" t="s">
        <v>2424</v>
      </c>
      <c r="G64" t="s">
        <v>28</v>
      </c>
      <c r="H64" t="s">
        <v>28</v>
      </c>
      <c r="I64" t="s">
        <v>924</v>
      </c>
    </row>
    <row r="65" spans="1:9" ht="11.25" customHeight="1" x14ac:dyDescent="0.15">
      <c r="A65" t="s">
        <v>2368</v>
      </c>
      <c r="B65" t="s">
        <v>16</v>
      </c>
      <c r="C65" t="s">
        <v>2592</v>
      </c>
      <c r="D65" t="s">
        <v>2593</v>
      </c>
      <c r="E65" t="s">
        <v>2594</v>
      </c>
      <c r="F65" t="s">
        <v>2375</v>
      </c>
      <c r="G65" t="s">
        <v>28</v>
      </c>
      <c r="H65" t="s">
        <v>28</v>
      </c>
      <c r="I65" t="s">
        <v>924</v>
      </c>
    </row>
    <row r="66" spans="1:9" ht="11.25" customHeight="1" x14ac:dyDescent="0.15">
      <c r="A66" t="s">
        <v>2368</v>
      </c>
      <c r="B66" t="s">
        <v>16</v>
      </c>
      <c r="C66" t="s">
        <v>2595</v>
      </c>
      <c r="D66" t="s">
        <v>2596</v>
      </c>
      <c r="E66" t="s">
        <v>2597</v>
      </c>
      <c r="F66" t="s">
        <v>54</v>
      </c>
      <c r="G66" t="s">
        <v>28</v>
      </c>
      <c r="H66" t="s">
        <v>28</v>
      </c>
      <c r="I66" t="s">
        <v>924</v>
      </c>
    </row>
    <row r="67" spans="1:9" ht="11.25" customHeight="1" x14ac:dyDescent="0.15">
      <c r="A67" t="s">
        <v>2368</v>
      </c>
      <c r="B67" t="s">
        <v>16</v>
      </c>
      <c r="C67" t="s">
        <v>2598</v>
      </c>
      <c r="D67" t="s">
        <v>2599</v>
      </c>
      <c r="E67" t="s">
        <v>2600</v>
      </c>
      <c r="F67" t="s">
        <v>2601</v>
      </c>
      <c r="G67" t="s">
        <v>2602</v>
      </c>
      <c r="H67" t="s">
        <v>28</v>
      </c>
      <c r="I67" t="s">
        <v>924</v>
      </c>
    </row>
    <row r="68" spans="1:9" ht="11.25" customHeight="1" x14ac:dyDescent="0.15">
      <c r="A68" t="s">
        <v>2368</v>
      </c>
      <c r="B68" t="s">
        <v>16</v>
      </c>
      <c r="C68" t="s">
        <v>2603</v>
      </c>
      <c r="D68" t="s">
        <v>2604</v>
      </c>
      <c r="E68" t="s">
        <v>2605</v>
      </c>
      <c r="F68" t="s">
        <v>2375</v>
      </c>
      <c r="G68" t="s">
        <v>2606</v>
      </c>
      <c r="H68" t="s">
        <v>28</v>
      </c>
      <c r="I68" t="s">
        <v>924</v>
      </c>
    </row>
    <row r="69" spans="1:9" ht="11.25" customHeight="1" x14ac:dyDescent="0.15">
      <c r="A69" t="s">
        <v>2368</v>
      </c>
      <c r="B69" t="s">
        <v>16</v>
      </c>
      <c r="C69" t="s">
        <v>2607</v>
      </c>
      <c r="D69" t="s">
        <v>2608</v>
      </c>
      <c r="E69" t="s">
        <v>2609</v>
      </c>
      <c r="F69" t="s">
        <v>2375</v>
      </c>
      <c r="G69" t="s">
        <v>2610</v>
      </c>
      <c r="H69" t="s">
        <v>28</v>
      </c>
      <c r="I69" t="s">
        <v>924</v>
      </c>
    </row>
    <row r="70" spans="1:9" ht="11.25" customHeight="1" x14ac:dyDescent="0.15">
      <c r="A70" t="s">
        <v>2368</v>
      </c>
      <c r="B70" t="s">
        <v>16</v>
      </c>
      <c r="C70" t="s">
        <v>2611</v>
      </c>
      <c r="D70" t="s">
        <v>2612</v>
      </c>
      <c r="E70" t="s">
        <v>2613</v>
      </c>
      <c r="F70" t="s">
        <v>2614</v>
      </c>
      <c r="G70" t="s">
        <v>28</v>
      </c>
      <c r="H70" t="s">
        <v>28</v>
      </c>
      <c r="I70" t="s">
        <v>924</v>
      </c>
    </row>
    <row r="71" spans="1:9" ht="11.25" customHeight="1" x14ac:dyDescent="0.15">
      <c r="A71" t="s">
        <v>2368</v>
      </c>
      <c r="B71" t="s">
        <v>16</v>
      </c>
      <c r="C71" t="s">
        <v>2615</v>
      </c>
      <c r="D71" t="s">
        <v>2616</v>
      </c>
      <c r="E71" t="s">
        <v>2617</v>
      </c>
      <c r="F71" t="s">
        <v>2601</v>
      </c>
      <c r="G71" t="s">
        <v>28</v>
      </c>
      <c r="H71" t="s">
        <v>28</v>
      </c>
      <c r="I71" t="s">
        <v>924</v>
      </c>
    </row>
    <row r="72" spans="1:9" ht="11.25" customHeight="1" x14ac:dyDescent="0.15">
      <c r="A72" t="s">
        <v>2368</v>
      </c>
      <c r="B72" t="s">
        <v>16</v>
      </c>
      <c r="C72" t="s">
        <v>2618</v>
      </c>
      <c r="D72" t="s">
        <v>2619</v>
      </c>
      <c r="E72" t="s">
        <v>2620</v>
      </c>
      <c r="F72" t="s">
        <v>2424</v>
      </c>
      <c r="G72" t="s">
        <v>28</v>
      </c>
      <c r="H72" t="s">
        <v>28</v>
      </c>
      <c r="I72" t="s">
        <v>924</v>
      </c>
    </row>
    <row r="73" spans="1:9" ht="11.25" customHeight="1" x14ac:dyDescent="0.15">
      <c r="A73" t="s">
        <v>2368</v>
      </c>
      <c r="B73" t="s">
        <v>16</v>
      </c>
      <c r="C73" t="s">
        <v>2621</v>
      </c>
      <c r="D73" t="s">
        <v>2622</v>
      </c>
      <c r="E73" t="s">
        <v>2623</v>
      </c>
      <c r="F73" t="s">
        <v>2601</v>
      </c>
      <c r="G73" t="s">
        <v>28</v>
      </c>
      <c r="H73" t="s">
        <v>28</v>
      </c>
      <c r="I73" t="s">
        <v>924</v>
      </c>
    </row>
    <row r="74" spans="1:9" ht="11.25" customHeight="1" x14ac:dyDescent="0.15">
      <c r="A74" t="s">
        <v>2368</v>
      </c>
      <c r="B74" t="s">
        <v>16</v>
      </c>
      <c r="C74" t="s">
        <v>2624</v>
      </c>
      <c r="D74" t="s">
        <v>2625</v>
      </c>
      <c r="E74" t="s">
        <v>2626</v>
      </c>
      <c r="F74" t="s">
        <v>2507</v>
      </c>
      <c r="G74" t="s">
        <v>2627</v>
      </c>
      <c r="H74" t="s">
        <v>28</v>
      </c>
      <c r="I74" t="s">
        <v>924</v>
      </c>
    </row>
    <row r="75" spans="1:9" ht="11.25" customHeight="1" x14ac:dyDescent="0.15">
      <c r="A75" t="s">
        <v>2368</v>
      </c>
      <c r="B75" t="s">
        <v>16</v>
      </c>
      <c r="C75" t="s">
        <v>2628</v>
      </c>
      <c r="D75" t="s">
        <v>2629</v>
      </c>
      <c r="E75" t="s">
        <v>2630</v>
      </c>
      <c r="F75" t="s">
        <v>2631</v>
      </c>
      <c r="G75" t="s">
        <v>2632</v>
      </c>
      <c r="H75" t="s">
        <v>28</v>
      </c>
      <c r="I75" t="s">
        <v>924</v>
      </c>
    </row>
    <row r="76" spans="1:9" ht="11.25" customHeight="1" x14ac:dyDescent="0.15">
      <c r="A76" t="s">
        <v>2368</v>
      </c>
      <c r="B76" t="s">
        <v>16</v>
      </c>
      <c r="C76" t="s">
        <v>2633</v>
      </c>
      <c r="D76" t="s">
        <v>2634</v>
      </c>
      <c r="E76" t="s">
        <v>2635</v>
      </c>
      <c r="F76" t="s">
        <v>2601</v>
      </c>
      <c r="G76" t="s">
        <v>28</v>
      </c>
      <c r="H76" t="s">
        <v>28</v>
      </c>
      <c r="I76" t="s">
        <v>924</v>
      </c>
    </row>
    <row r="77" spans="1:9" ht="11.25" customHeight="1" x14ac:dyDescent="0.15">
      <c r="A77" t="s">
        <v>2368</v>
      </c>
      <c r="B77" t="s">
        <v>16</v>
      </c>
      <c r="C77" t="s">
        <v>2636</v>
      </c>
      <c r="D77" t="s">
        <v>2637</v>
      </c>
      <c r="E77" t="s">
        <v>2638</v>
      </c>
      <c r="F77" t="s">
        <v>2601</v>
      </c>
      <c r="G77" t="s">
        <v>28</v>
      </c>
      <c r="H77" t="s">
        <v>28</v>
      </c>
      <c r="I77" t="s">
        <v>924</v>
      </c>
    </row>
    <row r="78" spans="1:9" ht="11.25" customHeight="1" x14ac:dyDescent="0.15">
      <c r="A78" t="s">
        <v>2368</v>
      </c>
      <c r="B78" t="s">
        <v>16</v>
      </c>
      <c r="C78" t="s">
        <v>2639</v>
      </c>
      <c r="D78" t="s">
        <v>2640</v>
      </c>
      <c r="E78" t="s">
        <v>2641</v>
      </c>
      <c r="F78" t="s">
        <v>2642</v>
      </c>
      <c r="G78" t="s">
        <v>28</v>
      </c>
      <c r="H78" t="s">
        <v>28</v>
      </c>
      <c r="I78" t="s">
        <v>924</v>
      </c>
    </row>
    <row r="79" spans="1:9" ht="11.25" customHeight="1" x14ac:dyDescent="0.15">
      <c r="A79" t="s">
        <v>2368</v>
      </c>
      <c r="B79" t="s">
        <v>16</v>
      </c>
      <c r="C79" t="s">
        <v>2643</v>
      </c>
      <c r="D79" t="s">
        <v>2644</v>
      </c>
      <c r="E79" t="s">
        <v>2645</v>
      </c>
      <c r="F79" t="s">
        <v>2371</v>
      </c>
      <c r="G79" t="s">
        <v>28</v>
      </c>
      <c r="H79" t="s">
        <v>28</v>
      </c>
      <c r="I79" t="s">
        <v>924</v>
      </c>
    </row>
    <row r="80" spans="1:9" ht="11.25" customHeight="1" x14ac:dyDescent="0.15">
      <c r="A80" t="s">
        <v>2368</v>
      </c>
      <c r="B80" t="s">
        <v>16</v>
      </c>
      <c r="C80" t="s">
        <v>2646</v>
      </c>
      <c r="D80" t="s">
        <v>2647</v>
      </c>
      <c r="E80" t="s">
        <v>2648</v>
      </c>
      <c r="F80" t="s">
        <v>2412</v>
      </c>
      <c r="G80" t="s">
        <v>28</v>
      </c>
      <c r="H80" t="s">
        <v>28</v>
      </c>
      <c r="I80" t="s">
        <v>924</v>
      </c>
    </row>
    <row r="81" spans="1:9" ht="11.25" customHeight="1" x14ac:dyDescent="0.15">
      <c r="A81" t="s">
        <v>2368</v>
      </c>
      <c r="B81" t="s">
        <v>16</v>
      </c>
      <c r="C81" t="s">
        <v>2649</v>
      </c>
      <c r="D81" t="s">
        <v>2650</v>
      </c>
      <c r="E81" t="s">
        <v>2651</v>
      </c>
      <c r="F81" t="s">
        <v>2375</v>
      </c>
      <c r="G81" t="s">
        <v>28</v>
      </c>
      <c r="H81" t="s">
        <v>28</v>
      </c>
      <c r="I81" t="s">
        <v>924</v>
      </c>
    </row>
    <row r="82" spans="1:9" ht="11.25" customHeight="1" x14ac:dyDescent="0.15">
      <c r="A82" t="s">
        <v>2368</v>
      </c>
      <c r="B82" t="s">
        <v>16</v>
      </c>
      <c r="C82" t="s">
        <v>2652</v>
      </c>
      <c r="D82" t="s">
        <v>2653</v>
      </c>
      <c r="E82" t="s">
        <v>2654</v>
      </c>
      <c r="F82" t="s">
        <v>2655</v>
      </c>
      <c r="G82" t="s">
        <v>2656</v>
      </c>
      <c r="H82" t="s">
        <v>28</v>
      </c>
      <c r="I82" t="s">
        <v>924</v>
      </c>
    </row>
    <row r="83" spans="1:9" ht="11.25" customHeight="1" x14ac:dyDescent="0.15">
      <c r="A83" t="s">
        <v>2368</v>
      </c>
      <c r="B83" t="s">
        <v>16</v>
      </c>
      <c r="C83" t="s">
        <v>2657</v>
      </c>
      <c r="D83" t="s">
        <v>2658</v>
      </c>
      <c r="E83" t="s">
        <v>2659</v>
      </c>
      <c r="F83" t="s">
        <v>2400</v>
      </c>
      <c r="G83" t="s">
        <v>2660</v>
      </c>
      <c r="H83" t="s">
        <v>28</v>
      </c>
      <c r="I83" t="s">
        <v>924</v>
      </c>
    </row>
    <row r="84" spans="1:9" ht="11.25" customHeight="1" x14ac:dyDescent="0.15">
      <c r="A84" t="s">
        <v>2368</v>
      </c>
      <c r="B84" t="s">
        <v>16</v>
      </c>
      <c r="C84" t="s">
        <v>2661</v>
      </c>
      <c r="D84" t="s">
        <v>2662</v>
      </c>
      <c r="E84" t="s">
        <v>2663</v>
      </c>
      <c r="F84" t="s">
        <v>2642</v>
      </c>
      <c r="G84" t="s">
        <v>28</v>
      </c>
      <c r="H84" t="s">
        <v>28</v>
      </c>
      <c r="I84" t="s">
        <v>924</v>
      </c>
    </row>
    <row r="85" spans="1:9" ht="11.25" customHeight="1" x14ac:dyDescent="0.15">
      <c r="A85" t="s">
        <v>2368</v>
      </c>
      <c r="B85" t="s">
        <v>16</v>
      </c>
      <c r="C85" t="s">
        <v>2664</v>
      </c>
      <c r="D85" t="s">
        <v>2665</v>
      </c>
      <c r="E85" t="s">
        <v>2666</v>
      </c>
      <c r="F85" t="s">
        <v>2572</v>
      </c>
      <c r="G85" t="s">
        <v>2667</v>
      </c>
      <c r="H85" t="s">
        <v>28</v>
      </c>
      <c r="I85" t="s">
        <v>924</v>
      </c>
    </row>
    <row r="86" spans="1:9" ht="11.25" customHeight="1" x14ac:dyDescent="0.15">
      <c r="A86" t="s">
        <v>2368</v>
      </c>
      <c r="B86" t="s">
        <v>16</v>
      </c>
      <c r="C86" t="s">
        <v>2668</v>
      </c>
      <c r="D86" t="s">
        <v>2669</v>
      </c>
      <c r="E86" t="s">
        <v>2670</v>
      </c>
      <c r="F86" t="s">
        <v>2433</v>
      </c>
      <c r="G86" t="s">
        <v>28</v>
      </c>
      <c r="H86" t="s">
        <v>28</v>
      </c>
      <c r="I86" t="s">
        <v>924</v>
      </c>
    </row>
    <row r="87" spans="1:9" ht="11.25" customHeight="1" x14ac:dyDescent="0.15">
      <c r="A87" t="s">
        <v>2368</v>
      </c>
      <c r="B87" t="s">
        <v>16</v>
      </c>
      <c r="C87" t="s">
        <v>2671</v>
      </c>
      <c r="D87" t="s">
        <v>2672</v>
      </c>
      <c r="E87" t="s">
        <v>2673</v>
      </c>
      <c r="F87" t="s">
        <v>2412</v>
      </c>
      <c r="G87" t="s">
        <v>28</v>
      </c>
      <c r="H87" t="s">
        <v>28</v>
      </c>
      <c r="I87" t="s">
        <v>924</v>
      </c>
    </row>
    <row r="88" spans="1:9" ht="11.25" customHeight="1" x14ac:dyDescent="0.15">
      <c r="A88" t="s">
        <v>2368</v>
      </c>
      <c r="B88" t="s">
        <v>16</v>
      </c>
      <c r="C88" t="s">
        <v>2674</v>
      </c>
      <c r="D88" t="s">
        <v>2675</v>
      </c>
      <c r="E88" t="s">
        <v>2676</v>
      </c>
      <c r="F88" t="s">
        <v>2551</v>
      </c>
      <c r="G88" t="s">
        <v>28</v>
      </c>
      <c r="H88" t="s">
        <v>28</v>
      </c>
      <c r="I88" t="s">
        <v>924</v>
      </c>
    </row>
    <row r="89" spans="1:9" ht="11.25" customHeight="1" x14ac:dyDescent="0.15">
      <c r="A89" t="s">
        <v>2368</v>
      </c>
      <c r="B89" t="s">
        <v>16</v>
      </c>
      <c r="C89" t="s">
        <v>2677</v>
      </c>
      <c r="D89" t="s">
        <v>2678</v>
      </c>
      <c r="E89" t="s">
        <v>2679</v>
      </c>
      <c r="F89" t="s">
        <v>2375</v>
      </c>
      <c r="G89" t="s">
        <v>28</v>
      </c>
      <c r="H89" t="s">
        <v>28</v>
      </c>
      <c r="I89" t="s">
        <v>924</v>
      </c>
    </row>
    <row r="90" spans="1:9" ht="11.25" customHeight="1" x14ac:dyDescent="0.15">
      <c r="A90" t="s">
        <v>2368</v>
      </c>
      <c r="B90" t="s">
        <v>16</v>
      </c>
      <c r="C90" t="s">
        <v>2680</v>
      </c>
      <c r="D90" t="s">
        <v>2681</v>
      </c>
      <c r="E90" t="s">
        <v>2682</v>
      </c>
      <c r="F90" t="s">
        <v>2375</v>
      </c>
      <c r="G90" t="s">
        <v>28</v>
      </c>
      <c r="H90" t="s">
        <v>28</v>
      </c>
      <c r="I90" t="s">
        <v>924</v>
      </c>
    </row>
    <row r="91" spans="1:9" ht="11.25" customHeight="1" x14ac:dyDescent="0.15">
      <c r="A91" t="s">
        <v>2368</v>
      </c>
      <c r="B91" t="s">
        <v>16</v>
      </c>
      <c r="C91" t="s">
        <v>2683</v>
      </c>
      <c r="D91" t="s">
        <v>2684</v>
      </c>
      <c r="E91" t="s">
        <v>2685</v>
      </c>
      <c r="F91" t="s">
        <v>2551</v>
      </c>
      <c r="G91" t="s">
        <v>2434</v>
      </c>
      <c r="H91" t="s">
        <v>28</v>
      </c>
      <c r="I91" t="s">
        <v>924</v>
      </c>
    </row>
    <row r="92" spans="1:9" ht="11.25" customHeight="1" x14ac:dyDescent="0.15">
      <c r="A92" t="s">
        <v>2368</v>
      </c>
      <c r="B92" t="s">
        <v>16</v>
      </c>
      <c r="C92" t="s">
        <v>2686</v>
      </c>
      <c r="D92" t="s">
        <v>2687</v>
      </c>
      <c r="E92" t="s">
        <v>2688</v>
      </c>
      <c r="F92" t="s">
        <v>2689</v>
      </c>
      <c r="G92" t="s">
        <v>28</v>
      </c>
      <c r="H92" t="s">
        <v>28</v>
      </c>
      <c r="I92" t="s">
        <v>924</v>
      </c>
    </row>
    <row r="93" spans="1:9" ht="11.25" customHeight="1" x14ac:dyDescent="0.15">
      <c r="A93" t="s">
        <v>2368</v>
      </c>
      <c r="B93" t="s">
        <v>16</v>
      </c>
      <c r="C93" t="s">
        <v>2690</v>
      </c>
      <c r="D93" t="s">
        <v>2691</v>
      </c>
      <c r="E93" t="s">
        <v>2692</v>
      </c>
      <c r="F93" t="s">
        <v>2441</v>
      </c>
      <c r="G93" t="s">
        <v>28</v>
      </c>
      <c r="H93" t="s">
        <v>28</v>
      </c>
      <c r="I93" t="s">
        <v>924</v>
      </c>
    </row>
    <row r="94" spans="1:9" ht="11.25" customHeight="1" x14ac:dyDescent="0.15">
      <c r="A94" t="s">
        <v>2368</v>
      </c>
      <c r="B94" t="s">
        <v>16</v>
      </c>
      <c r="C94" t="s">
        <v>2693</v>
      </c>
      <c r="D94" t="s">
        <v>2694</v>
      </c>
      <c r="E94" t="s">
        <v>2695</v>
      </c>
      <c r="F94" t="s">
        <v>2696</v>
      </c>
      <c r="G94" t="s">
        <v>28</v>
      </c>
      <c r="H94" t="s">
        <v>28</v>
      </c>
      <c r="I94" t="s">
        <v>924</v>
      </c>
    </row>
    <row r="95" spans="1:9" ht="11.25" customHeight="1" x14ac:dyDescent="0.15">
      <c r="A95" t="s">
        <v>2368</v>
      </c>
      <c r="B95" t="s">
        <v>16</v>
      </c>
      <c r="C95" t="s">
        <v>2697</v>
      </c>
      <c r="D95" t="s">
        <v>2698</v>
      </c>
      <c r="E95" t="s">
        <v>2699</v>
      </c>
      <c r="F95" t="s">
        <v>2424</v>
      </c>
      <c r="G95" t="s">
        <v>28</v>
      </c>
      <c r="H95" t="s">
        <v>28</v>
      </c>
      <c r="I95" t="s">
        <v>924</v>
      </c>
    </row>
    <row r="96" spans="1:9" ht="11.25" customHeight="1" x14ac:dyDescent="0.15">
      <c r="A96" t="s">
        <v>2368</v>
      </c>
      <c r="B96" t="s">
        <v>16</v>
      </c>
      <c r="C96" t="s">
        <v>2700</v>
      </c>
      <c r="D96" t="s">
        <v>2701</v>
      </c>
      <c r="E96" t="s">
        <v>2702</v>
      </c>
      <c r="F96" t="s">
        <v>2375</v>
      </c>
      <c r="G96" t="s">
        <v>28</v>
      </c>
      <c r="H96" t="s">
        <v>28</v>
      </c>
      <c r="I96" t="s">
        <v>924</v>
      </c>
    </row>
    <row r="97" spans="1:9" ht="11.25" customHeight="1" x14ac:dyDescent="0.15">
      <c r="A97" t="s">
        <v>2368</v>
      </c>
      <c r="B97" t="s">
        <v>16</v>
      </c>
      <c r="C97" t="s">
        <v>2703</v>
      </c>
      <c r="D97" t="s">
        <v>2704</v>
      </c>
      <c r="E97" t="s">
        <v>2705</v>
      </c>
      <c r="F97" t="s">
        <v>2441</v>
      </c>
      <c r="G97" t="s">
        <v>2706</v>
      </c>
      <c r="H97" t="s">
        <v>28</v>
      </c>
      <c r="I97" t="s">
        <v>924</v>
      </c>
    </row>
    <row r="98" spans="1:9" ht="11.25" customHeight="1" x14ac:dyDescent="0.15">
      <c r="A98" t="s">
        <v>2368</v>
      </c>
      <c r="B98" t="s">
        <v>16</v>
      </c>
      <c r="C98" t="s">
        <v>2707</v>
      </c>
      <c r="D98" t="s">
        <v>2708</v>
      </c>
      <c r="E98" t="s">
        <v>2709</v>
      </c>
      <c r="F98" t="s">
        <v>2710</v>
      </c>
      <c r="G98" t="s">
        <v>28</v>
      </c>
      <c r="H98" t="s">
        <v>28</v>
      </c>
      <c r="I98" t="s">
        <v>924</v>
      </c>
    </row>
    <row r="99" spans="1:9" ht="11.25" customHeight="1" x14ac:dyDescent="0.15">
      <c r="A99" t="s">
        <v>2368</v>
      </c>
      <c r="B99" t="s">
        <v>16</v>
      </c>
      <c r="C99" t="s">
        <v>2711</v>
      </c>
      <c r="D99" t="s">
        <v>2712</v>
      </c>
      <c r="E99" t="s">
        <v>2713</v>
      </c>
      <c r="F99" t="s">
        <v>2371</v>
      </c>
      <c r="G99" t="s">
        <v>28</v>
      </c>
      <c r="H99" t="s">
        <v>28</v>
      </c>
      <c r="I99" t="s">
        <v>924</v>
      </c>
    </row>
    <row r="100" spans="1:9" ht="11.25" customHeight="1" x14ac:dyDescent="0.15">
      <c r="A100" t="s">
        <v>2368</v>
      </c>
      <c r="B100" t="s">
        <v>16</v>
      </c>
      <c r="C100" t="s">
        <v>2714</v>
      </c>
      <c r="D100" t="s">
        <v>2715</v>
      </c>
      <c r="E100" t="s">
        <v>2716</v>
      </c>
      <c r="F100" t="s">
        <v>2383</v>
      </c>
      <c r="G100" t="s">
        <v>28</v>
      </c>
      <c r="H100" t="s">
        <v>28</v>
      </c>
      <c r="I100" t="s">
        <v>924</v>
      </c>
    </row>
    <row r="101" spans="1:9" ht="11.25" customHeight="1" x14ac:dyDescent="0.15">
      <c r="A101" t="s">
        <v>2368</v>
      </c>
      <c r="B101" t="s">
        <v>16</v>
      </c>
      <c r="C101" t="s">
        <v>2717</v>
      </c>
      <c r="D101" t="s">
        <v>2718</v>
      </c>
      <c r="E101" t="s">
        <v>2719</v>
      </c>
      <c r="F101" t="s">
        <v>2375</v>
      </c>
      <c r="G101" t="s">
        <v>28</v>
      </c>
      <c r="H101" t="s">
        <v>28</v>
      </c>
      <c r="I101" t="s">
        <v>924</v>
      </c>
    </row>
    <row r="102" spans="1:9" ht="11.25" customHeight="1" x14ac:dyDescent="0.15">
      <c r="A102" t="s">
        <v>2368</v>
      </c>
      <c r="B102" t="s">
        <v>16</v>
      </c>
      <c r="C102" t="s">
        <v>2720</v>
      </c>
      <c r="D102" t="s">
        <v>2721</v>
      </c>
      <c r="E102" t="s">
        <v>2722</v>
      </c>
      <c r="F102" t="s">
        <v>2723</v>
      </c>
      <c r="G102" t="s">
        <v>2724</v>
      </c>
      <c r="H102" t="s">
        <v>28</v>
      </c>
      <c r="I102" t="s">
        <v>924</v>
      </c>
    </row>
    <row r="103" spans="1:9" ht="11.25" customHeight="1" x14ac:dyDescent="0.15">
      <c r="A103" t="s">
        <v>2368</v>
      </c>
      <c r="B103" t="s">
        <v>16</v>
      </c>
      <c r="C103" t="s">
        <v>2725</v>
      </c>
      <c r="D103" t="s">
        <v>2726</v>
      </c>
      <c r="E103" t="s">
        <v>2727</v>
      </c>
      <c r="F103" t="s">
        <v>2696</v>
      </c>
      <c r="G103" t="s">
        <v>2728</v>
      </c>
      <c r="H103" t="s">
        <v>28</v>
      </c>
      <c r="I103" t="s">
        <v>924</v>
      </c>
    </row>
    <row r="104" spans="1:9" ht="11.25" customHeight="1" x14ac:dyDescent="0.15">
      <c r="A104" t="s">
        <v>2368</v>
      </c>
      <c r="B104" t="s">
        <v>16</v>
      </c>
      <c r="C104" t="s">
        <v>2729</v>
      </c>
      <c r="D104" t="s">
        <v>2730</v>
      </c>
      <c r="E104" t="s">
        <v>2731</v>
      </c>
      <c r="F104" t="s">
        <v>2424</v>
      </c>
      <c r="G104" t="s">
        <v>2732</v>
      </c>
      <c r="H104" t="s">
        <v>28</v>
      </c>
      <c r="I104" t="s">
        <v>924</v>
      </c>
    </row>
    <row r="105" spans="1:9" ht="11.25" customHeight="1" x14ac:dyDescent="0.15">
      <c r="A105" t="s">
        <v>2368</v>
      </c>
      <c r="B105" t="s">
        <v>16</v>
      </c>
      <c r="C105" t="s">
        <v>2733</v>
      </c>
      <c r="D105" t="s">
        <v>2734</v>
      </c>
      <c r="E105" t="s">
        <v>2735</v>
      </c>
      <c r="F105" t="s">
        <v>2736</v>
      </c>
      <c r="G105" t="s">
        <v>28</v>
      </c>
      <c r="H105" t="s">
        <v>28</v>
      </c>
      <c r="I105" t="s">
        <v>924</v>
      </c>
    </row>
    <row r="106" spans="1:9" ht="11.25" customHeight="1" x14ac:dyDescent="0.15">
      <c r="A106" t="s">
        <v>2368</v>
      </c>
      <c r="B106" t="s">
        <v>16</v>
      </c>
      <c r="C106" t="s">
        <v>2737</v>
      </c>
      <c r="D106" t="s">
        <v>2738</v>
      </c>
      <c r="E106" t="s">
        <v>2739</v>
      </c>
      <c r="F106" t="s">
        <v>2371</v>
      </c>
      <c r="G106" t="s">
        <v>28</v>
      </c>
      <c r="H106" t="s">
        <v>28</v>
      </c>
      <c r="I106" t="s">
        <v>924</v>
      </c>
    </row>
    <row r="107" spans="1:9" ht="11.25" customHeight="1" x14ac:dyDescent="0.15">
      <c r="A107" t="s">
        <v>2368</v>
      </c>
      <c r="B107" t="s">
        <v>16</v>
      </c>
      <c r="C107" t="s">
        <v>2740</v>
      </c>
      <c r="D107" t="s">
        <v>2741</v>
      </c>
      <c r="E107" t="s">
        <v>2470</v>
      </c>
      <c r="F107" t="s">
        <v>2742</v>
      </c>
      <c r="G107" t="s">
        <v>28</v>
      </c>
      <c r="H107" t="s">
        <v>28</v>
      </c>
      <c r="I107" t="s">
        <v>924</v>
      </c>
    </row>
    <row r="108" spans="1:9" ht="11.25" customHeight="1" x14ac:dyDescent="0.15">
      <c r="A108" t="s">
        <v>2368</v>
      </c>
      <c r="B108" t="s">
        <v>16</v>
      </c>
      <c r="C108" t="s">
        <v>2743</v>
      </c>
      <c r="D108" t="s">
        <v>2744</v>
      </c>
      <c r="E108" t="s">
        <v>2745</v>
      </c>
      <c r="F108" t="s">
        <v>2572</v>
      </c>
      <c r="G108" t="s">
        <v>28</v>
      </c>
      <c r="H108" t="s">
        <v>28</v>
      </c>
      <c r="I108" t="s">
        <v>924</v>
      </c>
    </row>
    <row r="109" spans="1:9" ht="11.25" customHeight="1" x14ac:dyDescent="0.15">
      <c r="A109" t="s">
        <v>2368</v>
      </c>
      <c r="B109" t="s">
        <v>16</v>
      </c>
      <c r="C109" t="s">
        <v>2746</v>
      </c>
      <c r="D109" t="s">
        <v>2747</v>
      </c>
      <c r="E109" t="s">
        <v>2748</v>
      </c>
      <c r="F109" t="s">
        <v>2749</v>
      </c>
      <c r="G109" t="s">
        <v>2750</v>
      </c>
      <c r="H109" t="s">
        <v>28</v>
      </c>
      <c r="I109" t="s">
        <v>924</v>
      </c>
    </row>
    <row r="110" spans="1:9" ht="11.25" customHeight="1" x14ac:dyDescent="0.15">
      <c r="A110" t="s">
        <v>2368</v>
      </c>
      <c r="B110" t="s">
        <v>16</v>
      </c>
      <c r="C110" t="s">
        <v>2751</v>
      </c>
      <c r="D110" t="s">
        <v>2752</v>
      </c>
      <c r="E110" t="s">
        <v>2753</v>
      </c>
      <c r="F110" t="s">
        <v>2572</v>
      </c>
      <c r="G110" t="s">
        <v>28</v>
      </c>
      <c r="H110" t="s">
        <v>28</v>
      </c>
      <c r="I110" t="s">
        <v>924</v>
      </c>
    </row>
    <row r="111" spans="1:9" ht="11.25" customHeight="1" x14ac:dyDescent="0.15">
      <c r="A111" t="s">
        <v>2368</v>
      </c>
      <c r="B111" t="s">
        <v>16</v>
      </c>
      <c r="C111" t="s">
        <v>2754</v>
      </c>
      <c r="D111" t="s">
        <v>2755</v>
      </c>
      <c r="E111" t="s">
        <v>2756</v>
      </c>
      <c r="F111" t="s">
        <v>54</v>
      </c>
      <c r="G111" t="s">
        <v>28</v>
      </c>
      <c r="H111" t="s">
        <v>28</v>
      </c>
      <c r="I111" t="s">
        <v>924</v>
      </c>
    </row>
    <row r="112" spans="1:9" ht="11.25" customHeight="1" x14ac:dyDescent="0.15">
      <c r="A112" t="s">
        <v>2368</v>
      </c>
      <c r="B112" t="s">
        <v>16</v>
      </c>
      <c r="C112" t="s">
        <v>2757</v>
      </c>
      <c r="D112" t="s">
        <v>2758</v>
      </c>
      <c r="E112" t="s">
        <v>2759</v>
      </c>
      <c r="F112" t="s">
        <v>2507</v>
      </c>
      <c r="G112" t="s">
        <v>28</v>
      </c>
      <c r="H112" t="s">
        <v>28</v>
      </c>
      <c r="I112" t="s">
        <v>924</v>
      </c>
    </row>
    <row r="113" spans="1:9" ht="11.25" customHeight="1" x14ac:dyDescent="0.15">
      <c r="A113" t="s">
        <v>2368</v>
      </c>
      <c r="B113" t="s">
        <v>16</v>
      </c>
      <c r="C113" t="s">
        <v>2760</v>
      </c>
      <c r="D113" t="s">
        <v>2761</v>
      </c>
      <c r="E113" t="s">
        <v>2762</v>
      </c>
      <c r="F113" t="s">
        <v>2379</v>
      </c>
      <c r="G113" t="s">
        <v>28</v>
      </c>
      <c r="H113" t="s">
        <v>28</v>
      </c>
      <c r="I113" t="s">
        <v>924</v>
      </c>
    </row>
    <row r="114" spans="1:9" ht="11.25" customHeight="1" x14ac:dyDescent="0.15">
      <c r="A114" t="s">
        <v>2368</v>
      </c>
      <c r="B114" t="s">
        <v>16</v>
      </c>
      <c r="C114" t="s">
        <v>2763</v>
      </c>
      <c r="D114" t="s">
        <v>2764</v>
      </c>
      <c r="E114" t="s">
        <v>2765</v>
      </c>
      <c r="F114" t="s">
        <v>2766</v>
      </c>
      <c r="G114" t="s">
        <v>28</v>
      </c>
      <c r="H114" t="s">
        <v>28</v>
      </c>
      <c r="I114" t="s">
        <v>924</v>
      </c>
    </row>
    <row r="115" spans="1:9" ht="11.25" customHeight="1" x14ac:dyDescent="0.15">
      <c r="A115" t="s">
        <v>2368</v>
      </c>
      <c r="B115" t="s">
        <v>16</v>
      </c>
      <c r="C115" t="s">
        <v>2767</v>
      </c>
      <c r="D115" t="s">
        <v>2768</v>
      </c>
      <c r="E115" t="s">
        <v>2769</v>
      </c>
      <c r="F115" t="s">
        <v>2433</v>
      </c>
      <c r="G115" t="s">
        <v>28</v>
      </c>
      <c r="H115" t="s">
        <v>28</v>
      </c>
      <c r="I115" t="s">
        <v>924</v>
      </c>
    </row>
    <row r="116" spans="1:9" ht="11.25" customHeight="1" x14ac:dyDescent="0.15">
      <c r="A116" t="s">
        <v>2368</v>
      </c>
      <c r="B116" t="s">
        <v>16</v>
      </c>
      <c r="C116" t="s">
        <v>2770</v>
      </c>
      <c r="D116" t="s">
        <v>2771</v>
      </c>
      <c r="E116" t="s">
        <v>2772</v>
      </c>
      <c r="F116" t="s">
        <v>2412</v>
      </c>
      <c r="G116" t="s">
        <v>28</v>
      </c>
      <c r="H116" t="s">
        <v>28</v>
      </c>
      <c r="I116" t="s">
        <v>924</v>
      </c>
    </row>
    <row r="117" spans="1:9" ht="11.25" customHeight="1" x14ac:dyDescent="0.15">
      <c r="A117" t="s">
        <v>2368</v>
      </c>
      <c r="B117" t="s">
        <v>16</v>
      </c>
      <c r="C117" t="s">
        <v>2773</v>
      </c>
      <c r="D117" t="s">
        <v>2774</v>
      </c>
      <c r="E117" t="s">
        <v>2775</v>
      </c>
      <c r="F117" t="s">
        <v>54</v>
      </c>
      <c r="G117" t="s">
        <v>28</v>
      </c>
      <c r="H117" t="s">
        <v>28</v>
      </c>
      <c r="I117" t="s">
        <v>924</v>
      </c>
    </row>
    <row r="118" spans="1:9" ht="11.25" customHeight="1" x14ac:dyDescent="0.15">
      <c r="A118" t="s">
        <v>2368</v>
      </c>
      <c r="B118" t="s">
        <v>16</v>
      </c>
      <c r="C118" t="s">
        <v>2776</v>
      </c>
      <c r="D118" t="s">
        <v>2777</v>
      </c>
      <c r="E118" t="s">
        <v>2778</v>
      </c>
      <c r="F118" t="s">
        <v>2412</v>
      </c>
      <c r="G118" t="s">
        <v>28</v>
      </c>
      <c r="H118" t="s">
        <v>28</v>
      </c>
      <c r="I118" t="s">
        <v>924</v>
      </c>
    </row>
    <row r="119" spans="1:9" ht="11.25" customHeight="1" x14ac:dyDescent="0.15">
      <c r="A119" t="s">
        <v>2368</v>
      </c>
      <c r="B119" t="s">
        <v>16</v>
      </c>
      <c r="C119" t="s">
        <v>2779</v>
      </c>
      <c r="D119" t="s">
        <v>2780</v>
      </c>
      <c r="E119" t="s">
        <v>2781</v>
      </c>
      <c r="F119" t="s">
        <v>2412</v>
      </c>
      <c r="G119" t="s">
        <v>28</v>
      </c>
      <c r="H119" t="s">
        <v>28</v>
      </c>
      <c r="I119" t="s">
        <v>924</v>
      </c>
    </row>
    <row r="120" spans="1:9" ht="11.25" customHeight="1" x14ac:dyDescent="0.15">
      <c r="A120" t="s">
        <v>2368</v>
      </c>
      <c r="B120" t="s">
        <v>16</v>
      </c>
      <c r="C120" t="s">
        <v>2782</v>
      </c>
      <c r="D120" t="s">
        <v>2783</v>
      </c>
      <c r="E120" t="s">
        <v>2784</v>
      </c>
      <c r="F120" t="s">
        <v>2572</v>
      </c>
      <c r="G120" t="s">
        <v>28</v>
      </c>
      <c r="H120" t="s">
        <v>28</v>
      </c>
      <c r="I120" t="s">
        <v>924</v>
      </c>
    </row>
    <row r="121" spans="1:9" ht="11.25" customHeight="1" x14ac:dyDescent="0.15">
      <c r="A121" t="s">
        <v>2368</v>
      </c>
      <c r="B121" t="s">
        <v>16</v>
      </c>
      <c r="C121" t="s">
        <v>2785</v>
      </c>
      <c r="D121" t="s">
        <v>2786</v>
      </c>
      <c r="E121" t="s">
        <v>2787</v>
      </c>
      <c r="F121" t="s">
        <v>2788</v>
      </c>
      <c r="G121" t="s">
        <v>28</v>
      </c>
      <c r="H121" t="s">
        <v>28</v>
      </c>
      <c r="I121" t="s">
        <v>924</v>
      </c>
    </row>
    <row r="122" spans="1:9" ht="11.25" customHeight="1" x14ac:dyDescent="0.15">
      <c r="A122" t="s">
        <v>2368</v>
      </c>
      <c r="B122" t="s">
        <v>16</v>
      </c>
      <c r="C122" t="s">
        <v>2789</v>
      </c>
      <c r="D122" t="s">
        <v>2790</v>
      </c>
      <c r="E122" t="s">
        <v>2791</v>
      </c>
      <c r="F122" t="s">
        <v>2792</v>
      </c>
      <c r="G122" t="s">
        <v>28</v>
      </c>
      <c r="H122" t="s">
        <v>28</v>
      </c>
      <c r="I122" t="s">
        <v>924</v>
      </c>
    </row>
    <row r="123" spans="1:9" ht="11.25" customHeight="1" x14ac:dyDescent="0.15">
      <c r="A123" t="s">
        <v>2368</v>
      </c>
      <c r="B123" t="s">
        <v>16</v>
      </c>
      <c r="C123" t="s">
        <v>2793</v>
      </c>
      <c r="D123" t="s">
        <v>2794</v>
      </c>
      <c r="E123" t="s">
        <v>2795</v>
      </c>
      <c r="F123" t="s">
        <v>2400</v>
      </c>
      <c r="G123" t="s">
        <v>28</v>
      </c>
      <c r="H123" t="s">
        <v>28</v>
      </c>
      <c r="I123" t="s">
        <v>924</v>
      </c>
    </row>
    <row r="124" spans="1:9" ht="11.25" customHeight="1" x14ac:dyDescent="0.15">
      <c r="A124" t="s">
        <v>2368</v>
      </c>
      <c r="B124" t="s">
        <v>16</v>
      </c>
      <c r="C124" t="s">
        <v>2796</v>
      </c>
      <c r="D124" t="s">
        <v>2797</v>
      </c>
      <c r="E124" t="s">
        <v>2798</v>
      </c>
      <c r="F124" t="s">
        <v>2404</v>
      </c>
      <c r="G124" t="s">
        <v>28</v>
      </c>
      <c r="H124" t="s">
        <v>28</v>
      </c>
      <c r="I124" t="s">
        <v>924</v>
      </c>
    </row>
    <row r="125" spans="1:9" ht="11.25" customHeight="1" x14ac:dyDescent="0.15">
      <c r="A125" t="s">
        <v>2368</v>
      </c>
      <c r="B125" t="s">
        <v>16</v>
      </c>
      <c r="C125" t="s">
        <v>28</v>
      </c>
      <c r="D125" t="s">
        <v>2369</v>
      </c>
      <c r="E125" t="s">
        <v>2370</v>
      </c>
      <c r="F125" t="s">
        <v>2371</v>
      </c>
      <c r="G125" t="s">
        <v>28</v>
      </c>
      <c r="H125" t="s">
        <v>28</v>
      </c>
      <c r="I125" t="s">
        <v>1010</v>
      </c>
    </row>
    <row r="126" spans="1:9" ht="11.25" customHeight="1" x14ac:dyDescent="0.15">
      <c r="A126" t="s">
        <v>2368</v>
      </c>
      <c r="B126" t="s">
        <v>16</v>
      </c>
      <c r="C126" t="s">
        <v>2380</v>
      </c>
      <c r="D126" t="s">
        <v>2381</v>
      </c>
      <c r="E126" t="s">
        <v>2382</v>
      </c>
      <c r="F126" t="s">
        <v>2383</v>
      </c>
      <c r="G126" t="s">
        <v>28</v>
      </c>
      <c r="H126" t="s">
        <v>28</v>
      </c>
      <c r="I126" t="s">
        <v>1010</v>
      </c>
    </row>
    <row r="127" spans="1:9" ht="11.25" customHeight="1" x14ac:dyDescent="0.15">
      <c r="A127" t="s">
        <v>2368</v>
      </c>
      <c r="B127" t="s">
        <v>16</v>
      </c>
      <c r="C127" t="s">
        <v>2384</v>
      </c>
      <c r="D127" t="s">
        <v>2385</v>
      </c>
      <c r="E127" t="s">
        <v>2386</v>
      </c>
      <c r="F127" t="s">
        <v>2387</v>
      </c>
      <c r="G127" t="s">
        <v>28</v>
      </c>
      <c r="H127" t="s">
        <v>28</v>
      </c>
      <c r="I127" t="s">
        <v>1010</v>
      </c>
    </row>
    <row r="128" spans="1:9" ht="11.25" customHeight="1" x14ac:dyDescent="0.15">
      <c r="A128" t="s">
        <v>2368</v>
      </c>
      <c r="B128" t="s">
        <v>16</v>
      </c>
      <c r="C128" t="s">
        <v>2391</v>
      </c>
      <c r="D128" t="s">
        <v>2392</v>
      </c>
      <c r="E128" t="s">
        <v>2386</v>
      </c>
      <c r="F128" t="s">
        <v>2393</v>
      </c>
      <c r="G128" t="s">
        <v>28</v>
      </c>
      <c r="H128" t="s">
        <v>28</v>
      </c>
      <c r="I128" t="s">
        <v>1010</v>
      </c>
    </row>
    <row r="129" spans="1:9" ht="11.25" customHeight="1" x14ac:dyDescent="0.15">
      <c r="A129" t="s">
        <v>2368</v>
      </c>
      <c r="B129" t="s">
        <v>16</v>
      </c>
      <c r="C129" t="s">
        <v>2394</v>
      </c>
      <c r="D129" t="s">
        <v>2395</v>
      </c>
      <c r="E129" t="s">
        <v>2386</v>
      </c>
      <c r="F129" t="s">
        <v>2396</v>
      </c>
      <c r="G129" t="s">
        <v>28</v>
      </c>
      <c r="H129" t="s">
        <v>28</v>
      </c>
      <c r="I129" t="s">
        <v>1010</v>
      </c>
    </row>
    <row r="130" spans="1:9" ht="11.25" customHeight="1" x14ac:dyDescent="0.15">
      <c r="A130" t="s">
        <v>2368</v>
      </c>
      <c r="B130" t="s">
        <v>16</v>
      </c>
      <c r="C130" t="s">
        <v>2401</v>
      </c>
      <c r="D130" t="s">
        <v>2402</v>
      </c>
      <c r="E130" t="s">
        <v>2403</v>
      </c>
      <c r="F130" t="s">
        <v>2404</v>
      </c>
      <c r="G130" t="s">
        <v>28</v>
      </c>
      <c r="H130" t="s">
        <v>28</v>
      </c>
      <c r="I130" t="s">
        <v>1010</v>
      </c>
    </row>
    <row r="131" spans="1:9" ht="11.25" customHeight="1" x14ac:dyDescent="0.15">
      <c r="A131" t="s">
        <v>2368</v>
      </c>
      <c r="B131" t="s">
        <v>16</v>
      </c>
      <c r="C131" t="s">
        <v>2413</v>
      </c>
      <c r="D131" t="s">
        <v>2414</v>
      </c>
      <c r="E131" t="s">
        <v>2415</v>
      </c>
      <c r="F131" t="s">
        <v>2416</v>
      </c>
      <c r="G131" t="s">
        <v>2417</v>
      </c>
      <c r="H131" t="s">
        <v>28</v>
      </c>
      <c r="I131" t="s">
        <v>1010</v>
      </c>
    </row>
    <row r="132" spans="1:9" ht="11.25" customHeight="1" x14ac:dyDescent="0.15">
      <c r="A132" t="s">
        <v>2368</v>
      </c>
      <c r="B132" t="s">
        <v>16</v>
      </c>
      <c r="C132" t="s">
        <v>2430</v>
      </c>
      <c r="D132" t="s">
        <v>2431</v>
      </c>
      <c r="E132" t="s">
        <v>2432</v>
      </c>
      <c r="F132" t="s">
        <v>2433</v>
      </c>
      <c r="G132" t="s">
        <v>2434</v>
      </c>
      <c r="H132" t="s">
        <v>28</v>
      </c>
      <c r="I132" t="s">
        <v>1010</v>
      </c>
    </row>
    <row r="133" spans="1:9" ht="11.25" customHeight="1" x14ac:dyDescent="0.15">
      <c r="A133" t="s">
        <v>2368</v>
      </c>
      <c r="B133" t="s">
        <v>16</v>
      </c>
      <c r="C133" t="s">
        <v>2435</v>
      </c>
      <c r="D133" t="s">
        <v>2436</v>
      </c>
      <c r="E133" t="s">
        <v>2437</v>
      </c>
      <c r="F133" t="s">
        <v>2400</v>
      </c>
      <c r="G133" t="s">
        <v>28</v>
      </c>
      <c r="H133" t="s">
        <v>28</v>
      </c>
      <c r="I133" t="s">
        <v>1010</v>
      </c>
    </row>
    <row r="134" spans="1:9" ht="11.25" customHeight="1" x14ac:dyDescent="0.15">
      <c r="A134" t="s">
        <v>2368</v>
      </c>
      <c r="B134" t="s">
        <v>16</v>
      </c>
      <c r="C134" t="s">
        <v>2442</v>
      </c>
      <c r="D134" t="s">
        <v>2443</v>
      </c>
      <c r="E134" t="s">
        <v>2444</v>
      </c>
      <c r="F134" t="s">
        <v>2412</v>
      </c>
      <c r="G134" t="s">
        <v>2445</v>
      </c>
      <c r="H134" t="s">
        <v>28</v>
      </c>
      <c r="I134" t="s">
        <v>1010</v>
      </c>
    </row>
    <row r="135" spans="1:9" ht="11.25" customHeight="1" x14ac:dyDescent="0.15">
      <c r="A135" t="s">
        <v>2368</v>
      </c>
      <c r="B135" t="s">
        <v>16</v>
      </c>
      <c r="C135" t="s">
        <v>2454</v>
      </c>
      <c r="D135" t="s">
        <v>2455</v>
      </c>
      <c r="E135" t="s">
        <v>2456</v>
      </c>
      <c r="F135" t="s">
        <v>2457</v>
      </c>
      <c r="G135" t="s">
        <v>28</v>
      </c>
      <c r="H135" t="s">
        <v>28</v>
      </c>
      <c r="I135" t="s">
        <v>1010</v>
      </c>
    </row>
    <row r="136" spans="1:9" ht="11.25" customHeight="1" x14ac:dyDescent="0.15">
      <c r="A136" t="s">
        <v>2368</v>
      </c>
      <c r="B136" t="s">
        <v>16</v>
      </c>
      <c r="C136" t="s">
        <v>2472</v>
      </c>
      <c r="D136" t="s">
        <v>2473</v>
      </c>
      <c r="E136" t="s">
        <v>2470</v>
      </c>
      <c r="F136" t="s">
        <v>2474</v>
      </c>
      <c r="G136" t="s">
        <v>28</v>
      </c>
      <c r="H136" t="s">
        <v>28</v>
      </c>
      <c r="I136" t="s">
        <v>1010</v>
      </c>
    </row>
    <row r="137" spans="1:9" ht="11.25" customHeight="1" x14ac:dyDescent="0.15">
      <c r="A137" t="s">
        <v>2368</v>
      </c>
      <c r="B137" t="s">
        <v>16</v>
      </c>
      <c r="C137" t="s">
        <v>2799</v>
      </c>
      <c r="D137" t="s">
        <v>49</v>
      </c>
      <c r="E137" t="s">
        <v>52</v>
      </c>
      <c r="F137" t="s">
        <v>2800</v>
      </c>
      <c r="G137" t="s">
        <v>28</v>
      </c>
      <c r="H137" t="s">
        <v>28</v>
      </c>
      <c r="I137" t="s">
        <v>1010</v>
      </c>
    </row>
    <row r="138" spans="1:9" ht="11.25" customHeight="1" x14ac:dyDescent="0.15">
      <c r="A138" t="s">
        <v>2368</v>
      </c>
      <c r="B138" t="s">
        <v>16</v>
      </c>
      <c r="C138" t="s">
        <v>2801</v>
      </c>
      <c r="D138" t="s">
        <v>49</v>
      </c>
      <c r="E138" t="s">
        <v>52</v>
      </c>
      <c r="F138" t="s">
        <v>2802</v>
      </c>
      <c r="G138" t="s">
        <v>28</v>
      </c>
      <c r="H138" t="s">
        <v>28</v>
      </c>
      <c r="I138" t="s">
        <v>1010</v>
      </c>
    </row>
    <row r="139" spans="1:9" ht="11.25" customHeight="1" x14ac:dyDescent="0.15">
      <c r="A139" t="s">
        <v>2368</v>
      </c>
      <c r="B139" t="s">
        <v>16</v>
      </c>
      <c r="C139" t="s">
        <v>2803</v>
      </c>
      <c r="D139" t="s">
        <v>49</v>
      </c>
      <c r="E139" t="s">
        <v>52</v>
      </c>
      <c r="F139" t="s">
        <v>2804</v>
      </c>
      <c r="G139" t="s">
        <v>28</v>
      </c>
      <c r="H139" t="s">
        <v>28</v>
      </c>
      <c r="I139" t="s">
        <v>1010</v>
      </c>
    </row>
    <row r="140" spans="1:9" ht="11.25" customHeight="1" x14ac:dyDescent="0.15">
      <c r="A140" t="s">
        <v>2368</v>
      </c>
      <c r="B140" t="s">
        <v>16</v>
      </c>
      <c r="C140" t="s">
        <v>2805</v>
      </c>
      <c r="D140" t="s">
        <v>49</v>
      </c>
      <c r="E140" t="s">
        <v>52</v>
      </c>
      <c r="F140" t="s">
        <v>2806</v>
      </c>
      <c r="G140" t="s">
        <v>28</v>
      </c>
      <c r="H140" t="s">
        <v>28</v>
      </c>
      <c r="I140" t="s">
        <v>1010</v>
      </c>
    </row>
    <row r="141" spans="1:9" ht="11.25" customHeight="1" x14ac:dyDescent="0.15">
      <c r="A141" t="s">
        <v>2368</v>
      </c>
      <c r="B141" t="s">
        <v>16</v>
      </c>
      <c r="C141" t="s">
        <v>2807</v>
      </c>
      <c r="D141" t="s">
        <v>49</v>
      </c>
      <c r="E141" t="s">
        <v>52</v>
      </c>
      <c r="F141" t="s">
        <v>2808</v>
      </c>
      <c r="G141" t="s">
        <v>28</v>
      </c>
      <c r="H141" t="s">
        <v>28</v>
      </c>
      <c r="I141" t="s">
        <v>1010</v>
      </c>
    </row>
    <row r="142" spans="1:9" ht="11.25" customHeight="1" x14ac:dyDescent="0.15">
      <c r="A142" t="s">
        <v>2368</v>
      </c>
      <c r="B142" t="s">
        <v>16</v>
      </c>
      <c r="C142" t="s">
        <v>2809</v>
      </c>
      <c r="D142" t="s">
        <v>49</v>
      </c>
      <c r="E142" t="s">
        <v>52</v>
      </c>
      <c r="F142" t="s">
        <v>2810</v>
      </c>
      <c r="G142" t="s">
        <v>28</v>
      </c>
      <c r="H142" t="s">
        <v>28</v>
      </c>
      <c r="I142" t="s">
        <v>1010</v>
      </c>
    </row>
    <row r="143" spans="1:9" ht="11.25" customHeight="1" x14ac:dyDescent="0.15">
      <c r="A143" t="s">
        <v>2368</v>
      </c>
      <c r="B143" t="s">
        <v>16</v>
      </c>
      <c r="C143" t="s">
        <v>2811</v>
      </c>
      <c r="D143" t="s">
        <v>49</v>
      </c>
      <c r="E143" t="s">
        <v>52</v>
      </c>
      <c r="F143" t="s">
        <v>2812</v>
      </c>
      <c r="G143" t="s">
        <v>28</v>
      </c>
      <c r="H143" t="s">
        <v>28</v>
      </c>
      <c r="I143" t="s">
        <v>1010</v>
      </c>
    </row>
    <row r="144" spans="1:9" ht="11.25" customHeight="1" x14ac:dyDescent="0.15">
      <c r="A144" t="s">
        <v>2368</v>
      </c>
      <c r="B144" t="s">
        <v>16</v>
      </c>
      <c r="C144" t="s">
        <v>2813</v>
      </c>
      <c r="D144" t="s">
        <v>49</v>
      </c>
      <c r="E144" t="s">
        <v>52</v>
      </c>
      <c r="F144" t="s">
        <v>2814</v>
      </c>
      <c r="G144" t="s">
        <v>28</v>
      </c>
      <c r="H144" t="s">
        <v>28</v>
      </c>
      <c r="I144" t="s">
        <v>1010</v>
      </c>
    </row>
    <row r="145" spans="1:9" ht="11.25" customHeight="1" x14ac:dyDescent="0.15">
      <c r="A145" t="s">
        <v>2368</v>
      </c>
      <c r="B145" t="s">
        <v>16</v>
      </c>
      <c r="C145" t="s">
        <v>13</v>
      </c>
      <c r="D145" t="s">
        <v>49</v>
      </c>
      <c r="E145" t="s">
        <v>52</v>
      </c>
      <c r="F145" t="s">
        <v>54</v>
      </c>
      <c r="G145" t="s">
        <v>28</v>
      </c>
      <c r="H145" t="s">
        <v>28</v>
      </c>
      <c r="I145" t="s">
        <v>1010</v>
      </c>
    </row>
    <row r="146" spans="1:9" ht="11.25" customHeight="1" x14ac:dyDescent="0.15">
      <c r="A146" t="s">
        <v>2368</v>
      </c>
      <c r="B146" t="s">
        <v>16</v>
      </c>
      <c r="C146" t="s">
        <v>2815</v>
      </c>
      <c r="D146" t="s">
        <v>2816</v>
      </c>
      <c r="E146" t="s">
        <v>52</v>
      </c>
      <c r="F146" t="s">
        <v>2817</v>
      </c>
      <c r="G146" t="s">
        <v>28</v>
      </c>
      <c r="H146" t="s">
        <v>28</v>
      </c>
      <c r="I146" t="s">
        <v>1010</v>
      </c>
    </row>
    <row r="147" spans="1:9" ht="11.25" customHeight="1" x14ac:dyDescent="0.15">
      <c r="A147" t="s">
        <v>2368</v>
      </c>
      <c r="B147" t="s">
        <v>16</v>
      </c>
      <c r="C147" t="s">
        <v>2525</v>
      </c>
      <c r="D147" t="s">
        <v>2526</v>
      </c>
      <c r="E147" t="s">
        <v>2527</v>
      </c>
      <c r="F147" t="s">
        <v>2400</v>
      </c>
      <c r="G147" t="s">
        <v>28</v>
      </c>
      <c r="H147" t="s">
        <v>28</v>
      </c>
      <c r="I147" t="s">
        <v>1010</v>
      </c>
    </row>
    <row r="148" spans="1:9" ht="11.25" customHeight="1" x14ac:dyDescent="0.15">
      <c r="A148" t="s">
        <v>2368</v>
      </c>
      <c r="B148" t="s">
        <v>16</v>
      </c>
      <c r="C148" t="s">
        <v>2532</v>
      </c>
      <c r="D148" t="s">
        <v>2533</v>
      </c>
      <c r="E148" t="s">
        <v>2534</v>
      </c>
      <c r="F148" t="s">
        <v>2408</v>
      </c>
      <c r="G148" t="s">
        <v>28</v>
      </c>
      <c r="H148" t="s">
        <v>28</v>
      </c>
      <c r="I148" t="s">
        <v>1010</v>
      </c>
    </row>
    <row r="149" spans="1:9" ht="11.25" customHeight="1" x14ac:dyDescent="0.15">
      <c r="A149" t="s">
        <v>2368</v>
      </c>
      <c r="B149" t="s">
        <v>16</v>
      </c>
      <c r="C149" t="s">
        <v>2552</v>
      </c>
      <c r="D149" t="s">
        <v>2553</v>
      </c>
      <c r="E149" t="s">
        <v>2554</v>
      </c>
      <c r="F149" t="s">
        <v>54</v>
      </c>
      <c r="G149" t="s">
        <v>28</v>
      </c>
      <c r="H149" t="s">
        <v>28</v>
      </c>
      <c r="I149" t="s">
        <v>1010</v>
      </c>
    </row>
    <row r="150" spans="1:9" ht="11.25" customHeight="1" x14ac:dyDescent="0.15">
      <c r="A150" t="s">
        <v>2368</v>
      </c>
      <c r="B150" t="s">
        <v>16</v>
      </c>
      <c r="C150" t="s">
        <v>2576</v>
      </c>
      <c r="D150" t="s">
        <v>2577</v>
      </c>
      <c r="E150" t="s">
        <v>2578</v>
      </c>
      <c r="F150" t="s">
        <v>2412</v>
      </c>
      <c r="G150" t="s">
        <v>28</v>
      </c>
      <c r="H150" t="s">
        <v>2579</v>
      </c>
      <c r="I150" t="s">
        <v>1010</v>
      </c>
    </row>
    <row r="151" spans="1:9" ht="11.25" customHeight="1" x14ac:dyDescent="0.15">
      <c r="A151" t="s">
        <v>2368</v>
      </c>
      <c r="B151" t="s">
        <v>16</v>
      </c>
      <c r="C151" t="s">
        <v>2580</v>
      </c>
      <c r="D151" t="s">
        <v>2581</v>
      </c>
      <c r="E151" t="s">
        <v>2470</v>
      </c>
      <c r="F151" t="s">
        <v>2582</v>
      </c>
      <c r="G151" t="s">
        <v>28</v>
      </c>
      <c r="H151" t="s">
        <v>28</v>
      </c>
      <c r="I151" t="s">
        <v>1010</v>
      </c>
    </row>
    <row r="152" spans="1:9" ht="11.25" customHeight="1" x14ac:dyDescent="0.15">
      <c r="A152" t="s">
        <v>2368</v>
      </c>
      <c r="B152" t="s">
        <v>16</v>
      </c>
      <c r="C152" t="s">
        <v>2628</v>
      </c>
      <c r="D152" t="s">
        <v>2629</v>
      </c>
      <c r="E152" t="s">
        <v>2630</v>
      </c>
      <c r="F152" t="s">
        <v>2631</v>
      </c>
      <c r="G152" t="s">
        <v>2632</v>
      </c>
      <c r="H152" t="s">
        <v>28</v>
      </c>
      <c r="I152" t="s">
        <v>1010</v>
      </c>
    </row>
    <row r="153" spans="1:9" ht="11.25" customHeight="1" x14ac:dyDescent="0.15">
      <c r="A153" t="s">
        <v>2368</v>
      </c>
      <c r="B153" t="s">
        <v>16</v>
      </c>
      <c r="C153" t="s">
        <v>2639</v>
      </c>
      <c r="D153" t="s">
        <v>2640</v>
      </c>
      <c r="E153" t="s">
        <v>2641</v>
      </c>
      <c r="F153" t="s">
        <v>2642</v>
      </c>
      <c r="G153" t="s">
        <v>28</v>
      </c>
      <c r="H153" t="s">
        <v>28</v>
      </c>
      <c r="I153" t="s">
        <v>1010</v>
      </c>
    </row>
    <row r="154" spans="1:9" ht="11.25" customHeight="1" x14ac:dyDescent="0.15">
      <c r="A154" t="s">
        <v>2368</v>
      </c>
      <c r="B154" t="s">
        <v>16</v>
      </c>
      <c r="C154" t="s">
        <v>2686</v>
      </c>
      <c r="D154" t="s">
        <v>2687</v>
      </c>
      <c r="E154" t="s">
        <v>2688</v>
      </c>
      <c r="F154" t="s">
        <v>2689</v>
      </c>
      <c r="G154" t="s">
        <v>28</v>
      </c>
      <c r="H154" t="s">
        <v>28</v>
      </c>
      <c r="I154" t="s">
        <v>1010</v>
      </c>
    </row>
    <row r="155" spans="1:9" ht="11.25" customHeight="1" x14ac:dyDescent="0.15">
      <c r="A155" t="s">
        <v>2368</v>
      </c>
      <c r="B155" t="s">
        <v>16</v>
      </c>
      <c r="C155" t="s">
        <v>2737</v>
      </c>
      <c r="D155" t="s">
        <v>2738</v>
      </c>
      <c r="E155" t="s">
        <v>2739</v>
      </c>
      <c r="F155" t="s">
        <v>2371</v>
      </c>
      <c r="G155" t="s">
        <v>28</v>
      </c>
      <c r="H155" t="s">
        <v>28</v>
      </c>
      <c r="I155" t="s">
        <v>1010</v>
      </c>
    </row>
    <row r="156" spans="1:9" ht="11.25" customHeight="1" x14ac:dyDescent="0.15">
      <c r="A156" t="s">
        <v>2368</v>
      </c>
      <c r="B156" t="s">
        <v>16</v>
      </c>
      <c r="C156" t="s">
        <v>2743</v>
      </c>
      <c r="D156" t="s">
        <v>2744</v>
      </c>
      <c r="E156" t="s">
        <v>2745</v>
      </c>
      <c r="F156" t="s">
        <v>2572</v>
      </c>
      <c r="G156" t="s">
        <v>28</v>
      </c>
      <c r="H156" t="s">
        <v>28</v>
      </c>
      <c r="I156" t="s">
        <v>1010</v>
      </c>
    </row>
    <row r="157" spans="1:9" ht="11.25" customHeight="1" x14ac:dyDescent="0.15">
      <c r="A157" t="s">
        <v>2368</v>
      </c>
      <c r="B157" t="s">
        <v>16</v>
      </c>
      <c r="C157" t="s">
        <v>2746</v>
      </c>
      <c r="D157" t="s">
        <v>2747</v>
      </c>
      <c r="E157" t="s">
        <v>2748</v>
      </c>
      <c r="F157" t="s">
        <v>2749</v>
      </c>
      <c r="G157" t="s">
        <v>2750</v>
      </c>
      <c r="H157" t="s">
        <v>28</v>
      </c>
      <c r="I157" t="s">
        <v>1010</v>
      </c>
    </row>
    <row r="158" spans="1:9" ht="11.25" customHeight="1" x14ac:dyDescent="0.15">
      <c r="A158" t="s">
        <v>2368</v>
      </c>
      <c r="B158" t="s">
        <v>16</v>
      </c>
      <c r="C158" t="s">
        <v>2782</v>
      </c>
      <c r="D158" t="s">
        <v>2783</v>
      </c>
      <c r="E158" t="s">
        <v>2784</v>
      </c>
      <c r="F158" t="s">
        <v>2572</v>
      </c>
      <c r="G158" t="s">
        <v>28</v>
      </c>
      <c r="H158" t="s">
        <v>28</v>
      </c>
      <c r="I158" t="s">
        <v>1010</v>
      </c>
    </row>
    <row r="159" spans="1:9" ht="11.25" customHeight="1" x14ac:dyDescent="0.15">
      <c r="A159" t="s">
        <v>2368</v>
      </c>
      <c r="B159" t="s">
        <v>16</v>
      </c>
      <c r="C159" t="s">
        <v>2793</v>
      </c>
      <c r="D159" t="s">
        <v>2794</v>
      </c>
      <c r="E159" t="s">
        <v>2795</v>
      </c>
      <c r="F159" t="s">
        <v>2400</v>
      </c>
      <c r="G159" t="s">
        <v>28</v>
      </c>
      <c r="H159" t="s">
        <v>28</v>
      </c>
      <c r="I159" t="s">
        <v>1010</v>
      </c>
    </row>
    <row r="160" spans="1:9" ht="11.25" customHeight="1" x14ac:dyDescent="0.15">
      <c r="A160" t="s">
        <v>2368</v>
      </c>
      <c r="B160" t="s">
        <v>16</v>
      </c>
      <c r="C160" t="s">
        <v>28</v>
      </c>
      <c r="D160" t="s">
        <v>2369</v>
      </c>
      <c r="E160" t="s">
        <v>2370</v>
      </c>
      <c r="F160" t="s">
        <v>2371</v>
      </c>
      <c r="G160" t="s">
        <v>28</v>
      </c>
      <c r="H160" t="s">
        <v>28</v>
      </c>
      <c r="I160" t="s">
        <v>970</v>
      </c>
    </row>
    <row r="161" spans="1:9" ht="11.25" customHeight="1" x14ac:dyDescent="0.15">
      <c r="A161" t="s">
        <v>2368</v>
      </c>
      <c r="B161" t="s">
        <v>16</v>
      </c>
      <c r="C161" t="s">
        <v>2372</v>
      </c>
      <c r="D161" t="s">
        <v>2373</v>
      </c>
      <c r="E161" t="s">
        <v>2374</v>
      </c>
      <c r="F161" t="s">
        <v>2375</v>
      </c>
      <c r="G161" t="s">
        <v>28</v>
      </c>
      <c r="H161" t="s">
        <v>28</v>
      </c>
      <c r="I161" t="s">
        <v>970</v>
      </c>
    </row>
    <row r="162" spans="1:9" ht="11.25" customHeight="1" x14ac:dyDescent="0.15">
      <c r="A162" t="s">
        <v>2368</v>
      </c>
      <c r="B162" t="s">
        <v>16</v>
      </c>
      <c r="C162" t="s">
        <v>2380</v>
      </c>
      <c r="D162" t="s">
        <v>2381</v>
      </c>
      <c r="E162" t="s">
        <v>2382</v>
      </c>
      <c r="F162" t="s">
        <v>2383</v>
      </c>
      <c r="G162" t="s">
        <v>28</v>
      </c>
      <c r="H162" t="s">
        <v>28</v>
      </c>
      <c r="I162" t="s">
        <v>970</v>
      </c>
    </row>
    <row r="163" spans="1:9" ht="11.25" customHeight="1" x14ac:dyDescent="0.15">
      <c r="A163" t="s">
        <v>2368</v>
      </c>
      <c r="B163" t="s">
        <v>16</v>
      </c>
      <c r="C163" t="s">
        <v>2384</v>
      </c>
      <c r="D163" t="s">
        <v>2385</v>
      </c>
      <c r="E163" t="s">
        <v>2386</v>
      </c>
      <c r="F163" t="s">
        <v>2387</v>
      </c>
      <c r="G163" t="s">
        <v>28</v>
      </c>
      <c r="H163" t="s">
        <v>28</v>
      </c>
      <c r="I163" t="s">
        <v>970</v>
      </c>
    </row>
    <row r="164" spans="1:9" ht="11.25" customHeight="1" x14ac:dyDescent="0.15">
      <c r="A164" t="s">
        <v>2368</v>
      </c>
      <c r="B164" t="s">
        <v>16</v>
      </c>
      <c r="C164" t="s">
        <v>2388</v>
      </c>
      <c r="D164" t="s">
        <v>2385</v>
      </c>
      <c r="E164" t="s">
        <v>2386</v>
      </c>
      <c r="F164" t="s">
        <v>2389</v>
      </c>
      <c r="G164" t="s">
        <v>2390</v>
      </c>
      <c r="H164" t="s">
        <v>28</v>
      </c>
      <c r="I164" t="s">
        <v>970</v>
      </c>
    </row>
    <row r="165" spans="1:9" ht="11.25" customHeight="1" x14ac:dyDescent="0.15">
      <c r="A165" t="s">
        <v>2368</v>
      </c>
      <c r="B165" t="s">
        <v>16</v>
      </c>
      <c r="C165" t="s">
        <v>2394</v>
      </c>
      <c r="D165" t="s">
        <v>2395</v>
      </c>
      <c r="E165" t="s">
        <v>2386</v>
      </c>
      <c r="F165" t="s">
        <v>2396</v>
      </c>
      <c r="G165" t="s">
        <v>28</v>
      </c>
      <c r="H165" t="s">
        <v>28</v>
      </c>
      <c r="I165" t="s">
        <v>970</v>
      </c>
    </row>
    <row r="166" spans="1:9" ht="11.25" customHeight="1" x14ac:dyDescent="0.15">
      <c r="A166" t="s">
        <v>2368</v>
      </c>
      <c r="B166" t="s">
        <v>16</v>
      </c>
      <c r="C166" t="s">
        <v>2397</v>
      </c>
      <c r="D166" t="s">
        <v>2398</v>
      </c>
      <c r="E166" t="s">
        <v>2399</v>
      </c>
      <c r="F166" t="s">
        <v>2400</v>
      </c>
      <c r="G166" t="s">
        <v>28</v>
      </c>
      <c r="H166" t="s">
        <v>28</v>
      </c>
      <c r="I166" t="s">
        <v>970</v>
      </c>
    </row>
    <row r="167" spans="1:9" ht="11.25" customHeight="1" x14ac:dyDescent="0.15">
      <c r="A167" t="s">
        <v>2368</v>
      </c>
      <c r="B167" t="s">
        <v>16</v>
      </c>
      <c r="C167" t="s">
        <v>2409</v>
      </c>
      <c r="D167" t="s">
        <v>2410</v>
      </c>
      <c r="E167" t="s">
        <v>2411</v>
      </c>
      <c r="F167" t="s">
        <v>2412</v>
      </c>
      <c r="G167" t="s">
        <v>28</v>
      </c>
      <c r="H167" t="s">
        <v>28</v>
      </c>
      <c r="I167" t="s">
        <v>970</v>
      </c>
    </row>
    <row r="168" spans="1:9" ht="11.25" customHeight="1" x14ac:dyDescent="0.15">
      <c r="A168" t="s">
        <v>2368</v>
      </c>
      <c r="B168" t="s">
        <v>16</v>
      </c>
      <c r="C168" t="s">
        <v>2818</v>
      </c>
      <c r="D168" t="s">
        <v>2819</v>
      </c>
      <c r="E168" t="s">
        <v>2820</v>
      </c>
      <c r="F168" t="s">
        <v>2614</v>
      </c>
      <c r="G168" t="s">
        <v>2821</v>
      </c>
      <c r="H168" t="s">
        <v>28</v>
      </c>
      <c r="I168" t="s">
        <v>970</v>
      </c>
    </row>
    <row r="169" spans="1:9" ht="11.25" customHeight="1" x14ac:dyDescent="0.15">
      <c r="A169" t="s">
        <v>2368</v>
      </c>
      <c r="B169" t="s">
        <v>16</v>
      </c>
      <c r="C169" t="s">
        <v>2418</v>
      </c>
      <c r="D169" t="s">
        <v>2419</v>
      </c>
      <c r="E169" t="s">
        <v>2420</v>
      </c>
      <c r="F169" t="s">
        <v>2379</v>
      </c>
      <c r="G169" t="s">
        <v>28</v>
      </c>
      <c r="H169" t="s">
        <v>28</v>
      </c>
      <c r="I169" t="s">
        <v>970</v>
      </c>
    </row>
    <row r="170" spans="1:9" ht="11.25" customHeight="1" x14ac:dyDescent="0.15">
      <c r="A170" t="s">
        <v>2368</v>
      </c>
      <c r="B170" t="s">
        <v>16</v>
      </c>
      <c r="C170" t="s">
        <v>2822</v>
      </c>
      <c r="D170" t="s">
        <v>2823</v>
      </c>
      <c r="E170" t="s">
        <v>2824</v>
      </c>
      <c r="F170" t="s">
        <v>2400</v>
      </c>
      <c r="G170" t="s">
        <v>2825</v>
      </c>
      <c r="H170" t="s">
        <v>28</v>
      </c>
      <c r="I170" t="s">
        <v>970</v>
      </c>
    </row>
    <row r="171" spans="1:9" ht="11.25" customHeight="1" x14ac:dyDescent="0.15">
      <c r="A171" t="s">
        <v>2368</v>
      </c>
      <c r="B171" t="s">
        <v>16</v>
      </c>
      <c r="C171" t="s">
        <v>2430</v>
      </c>
      <c r="D171" t="s">
        <v>2431</v>
      </c>
      <c r="E171" t="s">
        <v>2432</v>
      </c>
      <c r="F171" t="s">
        <v>2433</v>
      </c>
      <c r="G171" t="s">
        <v>2434</v>
      </c>
      <c r="H171" t="s">
        <v>28</v>
      </c>
      <c r="I171" t="s">
        <v>970</v>
      </c>
    </row>
    <row r="172" spans="1:9" ht="11.25" customHeight="1" x14ac:dyDescent="0.15">
      <c r="A172" t="s">
        <v>2368</v>
      </c>
      <c r="B172" t="s">
        <v>16</v>
      </c>
      <c r="C172" t="s">
        <v>2826</v>
      </c>
      <c r="D172" t="s">
        <v>2827</v>
      </c>
      <c r="E172" t="s">
        <v>2828</v>
      </c>
      <c r="F172" t="s">
        <v>2379</v>
      </c>
      <c r="G172" t="s">
        <v>28</v>
      </c>
      <c r="H172" t="s">
        <v>28</v>
      </c>
      <c r="I172" t="s">
        <v>970</v>
      </c>
    </row>
    <row r="173" spans="1:9" ht="11.25" customHeight="1" x14ac:dyDescent="0.15">
      <c r="A173" t="s">
        <v>2368</v>
      </c>
      <c r="B173" t="s">
        <v>16</v>
      </c>
      <c r="C173" t="s">
        <v>2438</v>
      </c>
      <c r="D173" t="s">
        <v>2439</v>
      </c>
      <c r="E173" t="s">
        <v>2440</v>
      </c>
      <c r="F173" t="s">
        <v>2441</v>
      </c>
      <c r="G173" t="s">
        <v>28</v>
      </c>
      <c r="H173" t="s">
        <v>28</v>
      </c>
      <c r="I173" t="s">
        <v>970</v>
      </c>
    </row>
    <row r="174" spans="1:9" ht="11.25" customHeight="1" x14ac:dyDescent="0.15">
      <c r="A174" t="s">
        <v>2368</v>
      </c>
      <c r="B174" t="s">
        <v>16</v>
      </c>
      <c r="C174" t="s">
        <v>2829</v>
      </c>
      <c r="D174" t="s">
        <v>2830</v>
      </c>
      <c r="E174" t="s">
        <v>2831</v>
      </c>
      <c r="F174" t="s">
        <v>2792</v>
      </c>
      <c r="G174" t="s">
        <v>2832</v>
      </c>
      <c r="H174" t="s">
        <v>28</v>
      </c>
      <c r="I174" t="s">
        <v>970</v>
      </c>
    </row>
    <row r="175" spans="1:9" ht="11.25" customHeight="1" x14ac:dyDescent="0.15">
      <c r="A175" t="s">
        <v>2368</v>
      </c>
      <c r="B175" t="s">
        <v>16</v>
      </c>
      <c r="C175" t="s">
        <v>2450</v>
      </c>
      <c r="D175" t="s">
        <v>2451</v>
      </c>
      <c r="E175" t="s">
        <v>2452</v>
      </c>
      <c r="F175" t="s">
        <v>2371</v>
      </c>
      <c r="G175" t="s">
        <v>2453</v>
      </c>
      <c r="H175" t="s">
        <v>28</v>
      </c>
      <c r="I175" t="s">
        <v>970</v>
      </c>
    </row>
    <row r="176" spans="1:9" ht="11.25" customHeight="1" x14ac:dyDescent="0.15">
      <c r="A176" t="s">
        <v>2368</v>
      </c>
      <c r="B176" t="s">
        <v>16</v>
      </c>
      <c r="C176" t="s">
        <v>2833</v>
      </c>
      <c r="D176" t="s">
        <v>2834</v>
      </c>
      <c r="E176" t="s">
        <v>2835</v>
      </c>
      <c r="F176" t="s">
        <v>2836</v>
      </c>
      <c r="G176" t="s">
        <v>28</v>
      </c>
      <c r="H176" t="s">
        <v>28</v>
      </c>
      <c r="I176" t="s">
        <v>970</v>
      </c>
    </row>
    <row r="177" spans="1:9" ht="11.25" customHeight="1" x14ac:dyDescent="0.15">
      <c r="A177" t="s">
        <v>2368</v>
      </c>
      <c r="B177" t="s">
        <v>16</v>
      </c>
      <c r="C177" t="s">
        <v>2472</v>
      </c>
      <c r="D177" t="s">
        <v>2473</v>
      </c>
      <c r="E177" t="s">
        <v>2470</v>
      </c>
      <c r="F177" t="s">
        <v>2474</v>
      </c>
      <c r="G177" t="s">
        <v>28</v>
      </c>
      <c r="H177" t="s">
        <v>28</v>
      </c>
      <c r="I177" t="s">
        <v>970</v>
      </c>
    </row>
    <row r="178" spans="1:9" ht="11.25" customHeight="1" x14ac:dyDescent="0.15">
      <c r="A178" t="s">
        <v>2368</v>
      </c>
      <c r="B178" t="s">
        <v>16</v>
      </c>
      <c r="C178" t="s">
        <v>2837</v>
      </c>
      <c r="D178" t="s">
        <v>2838</v>
      </c>
      <c r="E178" t="s">
        <v>2839</v>
      </c>
      <c r="F178" t="s">
        <v>2507</v>
      </c>
      <c r="G178" t="s">
        <v>28</v>
      </c>
      <c r="H178" t="s">
        <v>28</v>
      </c>
      <c r="I178" t="s">
        <v>970</v>
      </c>
    </row>
    <row r="179" spans="1:9" ht="11.25" customHeight="1" x14ac:dyDescent="0.15">
      <c r="A179" t="s">
        <v>2368</v>
      </c>
      <c r="B179" t="s">
        <v>16</v>
      </c>
      <c r="C179" t="s">
        <v>2483</v>
      </c>
      <c r="D179" t="s">
        <v>2484</v>
      </c>
      <c r="E179" t="s">
        <v>2485</v>
      </c>
      <c r="F179" t="s">
        <v>2424</v>
      </c>
      <c r="G179" t="s">
        <v>28</v>
      </c>
      <c r="H179" t="s">
        <v>28</v>
      </c>
      <c r="I179" t="s">
        <v>970</v>
      </c>
    </row>
    <row r="180" spans="1:9" ht="11.25" customHeight="1" x14ac:dyDescent="0.15">
      <c r="A180" t="s">
        <v>2368</v>
      </c>
      <c r="B180" t="s">
        <v>16</v>
      </c>
      <c r="C180" t="s">
        <v>2840</v>
      </c>
      <c r="D180" t="s">
        <v>2841</v>
      </c>
      <c r="E180" t="s">
        <v>2842</v>
      </c>
      <c r="F180" t="s">
        <v>692</v>
      </c>
      <c r="G180" t="s">
        <v>28</v>
      </c>
      <c r="H180" t="s">
        <v>28</v>
      </c>
      <c r="I180" t="s">
        <v>970</v>
      </c>
    </row>
    <row r="181" spans="1:9" ht="11.25" customHeight="1" x14ac:dyDescent="0.15">
      <c r="A181" t="s">
        <v>2368</v>
      </c>
      <c r="B181" t="s">
        <v>16</v>
      </c>
      <c r="C181" t="s">
        <v>2843</v>
      </c>
      <c r="D181" t="s">
        <v>2844</v>
      </c>
      <c r="E181" t="s">
        <v>2845</v>
      </c>
      <c r="F181" t="s">
        <v>692</v>
      </c>
      <c r="G181" t="s">
        <v>28</v>
      </c>
      <c r="H181" t="s">
        <v>28</v>
      </c>
      <c r="I181" t="s">
        <v>970</v>
      </c>
    </row>
    <row r="182" spans="1:9" ht="11.25" customHeight="1" x14ac:dyDescent="0.15">
      <c r="A182" t="s">
        <v>2368</v>
      </c>
      <c r="B182" t="s">
        <v>16</v>
      </c>
      <c r="C182" t="s">
        <v>2846</v>
      </c>
      <c r="D182" t="s">
        <v>2847</v>
      </c>
      <c r="E182" t="s">
        <v>2848</v>
      </c>
      <c r="F182" t="s">
        <v>692</v>
      </c>
      <c r="G182" t="s">
        <v>28</v>
      </c>
      <c r="H182" t="s">
        <v>28</v>
      </c>
      <c r="I182" t="s">
        <v>970</v>
      </c>
    </row>
    <row r="183" spans="1:9" ht="11.25" customHeight="1" x14ac:dyDescent="0.15">
      <c r="A183" t="s">
        <v>2368</v>
      </c>
      <c r="B183" t="s">
        <v>16</v>
      </c>
      <c r="C183" t="s">
        <v>2508</v>
      </c>
      <c r="D183" t="s">
        <v>2509</v>
      </c>
      <c r="E183" t="s">
        <v>2510</v>
      </c>
      <c r="F183" t="s">
        <v>2478</v>
      </c>
      <c r="G183" t="s">
        <v>28</v>
      </c>
      <c r="H183" t="s">
        <v>28</v>
      </c>
      <c r="I183" t="s">
        <v>970</v>
      </c>
    </row>
    <row r="184" spans="1:9" ht="11.25" customHeight="1" x14ac:dyDescent="0.15">
      <c r="A184" t="s">
        <v>2368</v>
      </c>
      <c r="B184" t="s">
        <v>16</v>
      </c>
      <c r="C184" t="s">
        <v>2849</v>
      </c>
      <c r="D184" t="s">
        <v>49</v>
      </c>
      <c r="E184" t="s">
        <v>52</v>
      </c>
      <c r="F184" t="s">
        <v>2850</v>
      </c>
      <c r="G184" t="s">
        <v>28</v>
      </c>
      <c r="H184" t="s">
        <v>28</v>
      </c>
      <c r="I184" t="s">
        <v>970</v>
      </c>
    </row>
    <row r="185" spans="1:9" ht="11.25" customHeight="1" x14ac:dyDescent="0.15">
      <c r="A185" t="s">
        <v>2368</v>
      </c>
      <c r="B185" t="s">
        <v>16</v>
      </c>
      <c r="C185" t="s">
        <v>2799</v>
      </c>
      <c r="D185" t="s">
        <v>49</v>
      </c>
      <c r="E185" t="s">
        <v>52</v>
      </c>
      <c r="F185" t="s">
        <v>2800</v>
      </c>
      <c r="G185" t="s">
        <v>28</v>
      </c>
      <c r="H185" t="s">
        <v>28</v>
      </c>
      <c r="I185" t="s">
        <v>970</v>
      </c>
    </row>
    <row r="186" spans="1:9" ht="11.25" customHeight="1" x14ac:dyDescent="0.15">
      <c r="A186" t="s">
        <v>2368</v>
      </c>
      <c r="B186" t="s">
        <v>16</v>
      </c>
      <c r="C186" t="s">
        <v>2801</v>
      </c>
      <c r="D186" t="s">
        <v>49</v>
      </c>
      <c r="E186" t="s">
        <v>52</v>
      </c>
      <c r="F186" t="s">
        <v>2802</v>
      </c>
      <c r="G186" t="s">
        <v>28</v>
      </c>
      <c r="H186" t="s">
        <v>28</v>
      </c>
      <c r="I186" t="s">
        <v>970</v>
      </c>
    </row>
    <row r="187" spans="1:9" ht="11.25" customHeight="1" x14ac:dyDescent="0.15">
      <c r="A187" t="s">
        <v>2368</v>
      </c>
      <c r="B187" t="s">
        <v>16</v>
      </c>
      <c r="C187" t="s">
        <v>2803</v>
      </c>
      <c r="D187" t="s">
        <v>49</v>
      </c>
      <c r="E187" t="s">
        <v>52</v>
      </c>
      <c r="F187" t="s">
        <v>2804</v>
      </c>
      <c r="G187" t="s">
        <v>28</v>
      </c>
      <c r="H187" t="s">
        <v>28</v>
      </c>
      <c r="I187" t="s">
        <v>970</v>
      </c>
    </row>
    <row r="188" spans="1:9" ht="11.25" customHeight="1" x14ac:dyDescent="0.15">
      <c r="A188" t="s">
        <v>2368</v>
      </c>
      <c r="B188" t="s">
        <v>16</v>
      </c>
      <c r="C188" t="s">
        <v>2851</v>
      </c>
      <c r="D188" t="s">
        <v>49</v>
      </c>
      <c r="E188" t="s">
        <v>52</v>
      </c>
      <c r="F188" t="s">
        <v>2852</v>
      </c>
      <c r="G188" t="s">
        <v>28</v>
      </c>
      <c r="H188" t="s">
        <v>28</v>
      </c>
      <c r="I188" t="s">
        <v>970</v>
      </c>
    </row>
    <row r="189" spans="1:9" ht="11.25" customHeight="1" x14ac:dyDescent="0.15">
      <c r="A189" t="s">
        <v>2368</v>
      </c>
      <c r="B189" t="s">
        <v>16</v>
      </c>
      <c r="C189" t="s">
        <v>2805</v>
      </c>
      <c r="D189" t="s">
        <v>49</v>
      </c>
      <c r="E189" t="s">
        <v>52</v>
      </c>
      <c r="F189" t="s">
        <v>2806</v>
      </c>
      <c r="G189" t="s">
        <v>28</v>
      </c>
      <c r="H189" t="s">
        <v>28</v>
      </c>
      <c r="I189" t="s">
        <v>970</v>
      </c>
    </row>
    <row r="190" spans="1:9" ht="11.25" customHeight="1" x14ac:dyDescent="0.15">
      <c r="A190" t="s">
        <v>2368</v>
      </c>
      <c r="B190" t="s">
        <v>16</v>
      </c>
      <c r="C190" t="s">
        <v>2807</v>
      </c>
      <c r="D190" t="s">
        <v>49</v>
      </c>
      <c r="E190" t="s">
        <v>52</v>
      </c>
      <c r="F190" t="s">
        <v>2808</v>
      </c>
      <c r="G190" t="s">
        <v>28</v>
      </c>
      <c r="H190" t="s">
        <v>28</v>
      </c>
      <c r="I190" t="s">
        <v>970</v>
      </c>
    </row>
    <row r="191" spans="1:9" ht="11.25" customHeight="1" x14ac:dyDescent="0.15">
      <c r="A191" t="s">
        <v>2368</v>
      </c>
      <c r="B191" t="s">
        <v>16</v>
      </c>
      <c r="C191" t="s">
        <v>2809</v>
      </c>
      <c r="D191" t="s">
        <v>49</v>
      </c>
      <c r="E191" t="s">
        <v>52</v>
      </c>
      <c r="F191" t="s">
        <v>2810</v>
      </c>
      <c r="G191" t="s">
        <v>28</v>
      </c>
      <c r="H191" t="s">
        <v>28</v>
      </c>
      <c r="I191" t="s">
        <v>970</v>
      </c>
    </row>
    <row r="192" spans="1:9" ht="11.25" customHeight="1" x14ac:dyDescent="0.15">
      <c r="A192" t="s">
        <v>2368</v>
      </c>
      <c r="B192" t="s">
        <v>16</v>
      </c>
      <c r="C192" t="s">
        <v>2811</v>
      </c>
      <c r="D192" t="s">
        <v>49</v>
      </c>
      <c r="E192" t="s">
        <v>52</v>
      </c>
      <c r="F192" t="s">
        <v>2812</v>
      </c>
      <c r="G192" t="s">
        <v>28</v>
      </c>
      <c r="H192" t="s">
        <v>28</v>
      </c>
      <c r="I192" t="s">
        <v>970</v>
      </c>
    </row>
    <row r="193" spans="1:9" ht="11.25" customHeight="1" x14ac:dyDescent="0.15">
      <c r="A193" t="s">
        <v>2368</v>
      </c>
      <c r="B193" t="s">
        <v>16</v>
      </c>
      <c r="C193" t="s">
        <v>2813</v>
      </c>
      <c r="D193" t="s">
        <v>49</v>
      </c>
      <c r="E193" t="s">
        <v>52</v>
      </c>
      <c r="F193" t="s">
        <v>2814</v>
      </c>
      <c r="G193" t="s">
        <v>28</v>
      </c>
      <c r="H193" t="s">
        <v>28</v>
      </c>
      <c r="I193" t="s">
        <v>970</v>
      </c>
    </row>
    <row r="194" spans="1:9" ht="11.25" customHeight="1" x14ac:dyDescent="0.15">
      <c r="A194" t="s">
        <v>2368</v>
      </c>
      <c r="B194" t="s">
        <v>16</v>
      </c>
      <c r="C194" t="s">
        <v>13</v>
      </c>
      <c r="D194" t="s">
        <v>49</v>
      </c>
      <c r="E194" t="s">
        <v>52</v>
      </c>
      <c r="F194" t="s">
        <v>54</v>
      </c>
      <c r="G194" t="s">
        <v>28</v>
      </c>
      <c r="H194" t="s">
        <v>28</v>
      </c>
      <c r="I194" t="s">
        <v>970</v>
      </c>
    </row>
    <row r="195" spans="1:9" ht="11.25" customHeight="1" x14ac:dyDescent="0.15">
      <c r="A195" t="s">
        <v>2368</v>
      </c>
      <c r="B195" t="s">
        <v>16</v>
      </c>
      <c r="C195" t="s">
        <v>2853</v>
      </c>
      <c r="D195" t="s">
        <v>2854</v>
      </c>
      <c r="E195" t="s">
        <v>2855</v>
      </c>
      <c r="F195" t="s">
        <v>2400</v>
      </c>
      <c r="G195" t="s">
        <v>28</v>
      </c>
      <c r="H195" t="s">
        <v>28</v>
      </c>
      <c r="I195" t="s">
        <v>970</v>
      </c>
    </row>
    <row r="196" spans="1:9" ht="11.25" customHeight="1" x14ac:dyDescent="0.15">
      <c r="A196" t="s">
        <v>2368</v>
      </c>
      <c r="B196" t="s">
        <v>16</v>
      </c>
      <c r="C196" t="s">
        <v>2856</v>
      </c>
      <c r="D196" t="s">
        <v>2854</v>
      </c>
      <c r="E196" t="s">
        <v>2855</v>
      </c>
      <c r="F196" t="s">
        <v>2857</v>
      </c>
      <c r="G196" t="s">
        <v>28</v>
      </c>
      <c r="H196" t="s">
        <v>28</v>
      </c>
      <c r="I196" t="s">
        <v>970</v>
      </c>
    </row>
    <row r="197" spans="1:9" ht="11.25" customHeight="1" x14ac:dyDescent="0.15">
      <c r="A197" t="s">
        <v>2368</v>
      </c>
      <c r="B197" t="s">
        <v>16</v>
      </c>
      <c r="C197" t="s">
        <v>2858</v>
      </c>
      <c r="D197" t="s">
        <v>2816</v>
      </c>
      <c r="E197" t="s">
        <v>52</v>
      </c>
      <c r="F197" t="s">
        <v>2859</v>
      </c>
      <c r="G197" t="s">
        <v>28</v>
      </c>
      <c r="H197" t="s">
        <v>28</v>
      </c>
      <c r="I197" t="s">
        <v>970</v>
      </c>
    </row>
    <row r="198" spans="1:9" ht="11.25" customHeight="1" x14ac:dyDescent="0.15">
      <c r="A198" t="s">
        <v>2368</v>
      </c>
      <c r="B198" t="s">
        <v>16</v>
      </c>
      <c r="C198" t="s">
        <v>2815</v>
      </c>
      <c r="D198" t="s">
        <v>2816</v>
      </c>
      <c r="E198" t="s">
        <v>52</v>
      </c>
      <c r="F198" t="s">
        <v>2817</v>
      </c>
      <c r="G198" t="s">
        <v>28</v>
      </c>
      <c r="H198" t="s">
        <v>28</v>
      </c>
      <c r="I198" t="s">
        <v>970</v>
      </c>
    </row>
    <row r="199" spans="1:9" ht="11.25" customHeight="1" x14ac:dyDescent="0.15">
      <c r="A199" t="s">
        <v>2368</v>
      </c>
      <c r="B199" t="s">
        <v>16</v>
      </c>
      <c r="C199" t="s">
        <v>2860</v>
      </c>
      <c r="D199" t="s">
        <v>2861</v>
      </c>
      <c r="E199" t="s">
        <v>2862</v>
      </c>
      <c r="F199" t="s">
        <v>2412</v>
      </c>
      <c r="G199" t="s">
        <v>28</v>
      </c>
      <c r="H199" t="s">
        <v>28</v>
      </c>
      <c r="I199" t="s">
        <v>970</v>
      </c>
    </row>
    <row r="200" spans="1:9" ht="11.25" customHeight="1" x14ac:dyDescent="0.15">
      <c r="A200" t="s">
        <v>2368</v>
      </c>
      <c r="B200" t="s">
        <v>16</v>
      </c>
      <c r="C200" t="s">
        <v>2863</v>
      </c>
      <c r="D200" t="s">
        <v>2864</v>
      </c>
      <c r="E200" t="s">
        <v>2865</v>
      </c>
      <c r="F200" t="s">
        <v>2601</v>
      </c>
      <c r="G200" t="s">
        <v>28</v>
      </c>
      <c r="H200" t="s">
        <v>28</v>
      </c>
      <c r="I200" t="s">
        <v>970</v>
      </c>
    </row>
    <row r="201" spans="1:9" ht="11.25" customHeight="1" x14ac:dyDescent="0.15">
      <c r="A201" t="s">
        <v>2368</v>
      </c>
      <c r="B201" t="s">
        <v>16</v>
      </c>
      <c r="C201" t="s">
        <v>2866</v>
      </c>
      <c r="D201" t="s">
        <v>2867</v>
      </c>
      <c r="E201" t="s">
        <v>2868</v>
      </c>
      <c r="F201" t="s">
        <v>2710</v>
      </c>
      <c r="G201" t="s">
        <v>28</v>
      </c>
      <c r="H201" t="s">
        <v>28</v>
      </c>
      <c r="I201" t="s">
        <v>970</v>
      </c>
    </row>
    <row r="202" spans="1:9" ht="11.25" customHeight="1" x14ac:dyDescent="0.15">
      <c r="A202" t="s">
        <v>2368</v>
      </c>
      <c r="B202" t="s">
        <v>16</v>
      </c>
      <c r="C202" t="s">
        <v>2869</v>
      </c>
      <c r="D202" t="s">
        <v>2870</v>
      </c>
      <c r="E202" t="s">
        <v>2871</v>
      </c>
      <c r="F202" t="s">
        <v>2433</v>
      </c>
      <c r="G202" t="s">
        <v>28</v>
      </c>
      <c r="H202" t="s">
        <v>28</v>
      </c>
      <c r="I202" t="s">
        <v>970</v>
      </c>
    </row>
    <row r="203" spans="1:9" ht="11.25" customHeight="1" x14ac:dyDescent="0.15">
      <c r="A203" t="s">
        <v>2368</v>
      </c>
      <c r="B203" t="s">
        <v>16</v>
      </c>
      <c r="C203" t="s">
        <v>2872</v>
      </c>
      <c r="D203" t="s">
        <v>2873</v>
      </c>
      <c r="E203" t="s">
        <v>2874</v>
      </c>
      <c r="F203" t="s">
        <v>2524</v>
      </c>
      <c r="G203" t="s">
        <v>28</v>
      </c>
      <c r="H203" t="s">
        <v>28</v>
      </c>
      <c r="I203" t="s">
        <v>970</v>
      </c>
    </row>
    <row r="204" spans="1:9" ht="11.25" customHeight="1" x14ac:dyDescent="0.15">
      <c r="A204" t="s">
        <v>2368</v>
      </c>
      <c r="B204" t="s">
        <v>16</v>
      </c>
      <c r="C204" t="s">
        <v>2875</v>
      </c>
      <c r="D204" t="s">
        <v>2876</v>
      </c>
      <c r="E204" t="s">
        <v>2877</v>
      </c>
      <c r="F204" t="s">
        <v>2878</v>
      </c>
      <c r="G204" t="s">
        <v>28</v>
      </c>
      <c r="H204" t="s">
        <v>28</v>
      </c>
      <c r="I204" t="s">
        <v>970</v>
      </c>
    </row>
    <row r="205" spans="1:9" ht="11.25" customHeight="1" x14ac:dyDescent="0.15">
      <c r="A205" t="s">
        <v>2368</v>
      </c>
      <c r="B205" t="s">
        <v>16</v>
      </c>
      <c r="C205" t="s">
        <v>2879</v>
      </c>
      <c r="D205" t="s">
        <v>2880</v>
      </c>
      <c r="E205" t="s">
        <v>2881</v>
      </c>
      <c r="F205" t="s">
        <v>2433</v>
      </c>
      <c r="G205" t="s">
        <v>28</v>
      </c>
      <c r="H205" t="s">
        <v>28</v>
      </c>
      <c r="I205" t="s">
        <v>970</v>
      </c>
    </row>
    <row r="206" spans="1:9" ht="11.25" customHeight="1" x14ac:dyDescent="0.15">
      <c r="A206" t="s">
        <v>2368</v>
      </c>
      <c r="B206" t="s">
        <v>16</v>
      </c>
      <c r="C206" t="s">
        <v>2521</v>
      </c>
      <c r="D206" t="s">
        <v>2522</v>
      </c>
      <c r="E206" t="s">
        <v>2523</v>
      </c>
      <c r="F206" t="s">
        <v>2524</v>
      </c>
      <c r="G206" t="s">
        <v>28</v>
      </c>
      <c r="H206" t="s">
        <v>28</v>
      </c>
      <c r="I206" t="s">
        <v>970</v>
      </c>
    </row>
    <row r="207" spans="1:9" ht="11.25" customHeight="1" x14ac:dyDescent="0.15">
      <c r="A207" t="s">
        <v>2368</v>
      </c>
      <c r="B207" t="s">
        <v>16</v>
      </c>
      <c r="C207" t="s">
        <v>2882</v>
      </c>
      <c r="D207" t="s">
        <v>2883</v>
      </c>
      <c r="E207" t="s">
        <v>2884</v>
      </c>
      <c r="F207" t="s">
        <v>2541</v>
      </c>
      <c r="G207" t="s">
        <v>2885</v>
      </c>
      <c r="H207" t="s">
        <v>28</v>
      </c>
      <c r="I207" t="s">
        <v>970</v>
      </c>
    </row>
    <row r="208" spans="1:9" ht="11.25" customHeight="1" x14ac:dyDescent="0.15">
      <c r="A208" t="s">
        <v>2368</v>
      </c>
      <c r="B208" t="s">
        <v>16</v>
      </c>
      <c r="C208" t="s">
        <v>2886</v>
      </c>
      <c r="D208" t="s">
        <v>2887</v>
      </c>
      <c r="E208" t="s">
        <v>2888</v>
      </c>
      <c r="F208" t="s">
        <v>2889</v>
      </c>
      <c r="G208" t="s">
        <v>28</v>
      </c>
      <c r="H208" t="s">
        <v>28</v>
      </c>
      <c r="I208" t="s">
        <v>970</v>
      </c>
    </row>
    <row r="209" spans="1:9" ht="11.25" customHeight="1" x14ac:dyDescent="0.15">
      <c r="A209" t="s">
        <v>2368</v>
      </c>
      <c r="B209" t="s">
        <v>16</v>
      </c>
      <c r="C209" t="s">
        <v>2890</v>
      </c>
      <c r="D209" t="s">
        <v>2891</v>
      </c>
      <c r="E209" t="s">
        <v>2892</v>
      </c>
      <c r="F209" t="s">
        <v>2541</v>
      </c>
      <c r="G209" t="s">
        <v>28</v>
      </c>
      <c r="H209" t="s">
        <v>2893</v>
      </c>
      <c r="I209" t="s">
        <v>970</v>
      </c>
    </row>
    <row r="210" spans="1:9" ht="11.25" customHeight="1" x14ac:dyDescent="0.15">
      <c r="A210" t="s">
        <v>2368</v>
      </c>
      <c r="B210" t="s">
        <v>16</v>
      </c>
      <c r="C210" t="s">
        <v>2894</v>
      </c>
      <c r="D210" t="s">
        <v>2895</v>
      </c>
      <c r="E210" t="s">
        <v>2896</v>
      </c>
      <c r="F210" t="s">
        <v>2412</v>
      </c>
      <c r="G210" t="s">
        <v>2897</v>
      </c>
      <c r="H210" t="s">
        <v>28</v>
      </c>
      <c r="I210" t="s">
        <v>970</v>
      </c>
    </row>
    <row r="211" spans="1:9" ht="11.25" customHeight="1" x14ac:dyDescent="0.15">
      <c r="A211" t="s">
        <v>2368</v>
      </c>
      <c r="B211" t="s">
        <v>16</v>
      </c>
      <c r="C211" t="s">
        <v>2898</v>
      </c>
      <c r="D211" t="s">
        <v>2899</v>
      </c>
      <c r="E211" t="s">
        <v>2900</v>
      </c>
      <c r="F211" t="s">
        <v>2412</v>
      </c>
      <c r="G211" t="s">
        <v>2901</v>
      </c>
      <c r="H211" t="s">
        <v>28</v>
      </c>
      <c r="I211" t="s">
        <v>970</v>
      </c>
    </row>
    <row r="212" spans="1:9" ht="11.25" customHeight="1" x14ac:dyDescent="0.15">
      <c r="A212" t="s">
        <v>2368</v>
      </c>
      <c r="B212" t="s">
        <v>16</v>
      </c>
      <c r="C212" t="s">
        <v>2528</v>
      </c>
      <c r="D212" t="s">
        <v>2529</v>
      </c>
      <c r="E212" t="s">
        <v>2530</v>
      </c>
      <c r="F212" t="s">
        <v>2531</v>
      </c>
      <c r="G212" t="s">
        <v>28</v>
      </c>
      <c r="H212" t="s">
        <v>28</v>
      </c>
      <c r="I212" t="s">
        <v>970</v>
      </c>
    </row>
    <row r="213" spans="1:9" ht="11.25" customHeight="1" x14ac:dyDescent="0.15">
      <c r="A213" t="s">
        <v>2368</v>
      </c>
      <c r="B213" t="s">
        <v>16</v>
      </c>
      <c r="C213" t="s">
        <v>2532</v>
      </c>
      <c r="D213" t="s">
        <v>2533</v>
      </c>
      <c r="E213" t="s">
        <v>2534</v>
      </c>
      <c r="F213" t="s">
        <v>2408</v>
      </c>
      <c r="G213" t="s">
        <v>28</v>
      </c>
      <c r="H213" t="s">
        <v>28</v>
      </c>
      <c r="I213" t="s">
        <v>970</v>
      </c>
    </row>
    <row r="214" spans="1:9" ht="11.25" customHeight="1" x14ac:dyDescent="0.15">
      <c r="A214" t="s">
        <v>2368</v>
      </c>
      <c r="B214" t="s">
        <v>16</v>
      </c>
      <c r="C214" t="s">
        <v>2535</v>
      </c>
      <c r="D214" t="s">
        <v>2536</v>
      </c>
      <c r="E214" t="s">
        <v>2537</v>
      </c>
      <c r="F214" t="s">
        <v>2408</v>
      </c>
      <c r="G214" t="s">
        <v>28</v>
      </c>
      <c r="H214" t="s">
        <v>28</v>
      </c>
      <c r="I214" t="s">
        <v>970</v>
      </c>
    </row>
    <row r="215" spans="1:9" ht="11.25" customHeight="1" x14ac:dyDescent="0.15">
      <c r="A215" t="s">
        <v>2368</v>
      </c>
      <c r="B215" t="s">
        <v>16</v>
      </c>
      <c r="C215" t="s">
        <v>2538</v>
      </c>
      <c r="D215" t="s">
        <v>2539</v>
      </c>
      <c r="E215" t="s">
        <v>2540</v>
      </c>
      <c r="F215" t="s">
        <v>2541</v>
      </c>
      <c r="G215" t="s">
        <v>28</v>
      </c>
      <c r="H215" t="s">
        <v>28</v>
      </c>
      <c r="I215" t="s">
        <v>970</v>
      </c>
    </row>
    <row r="216" spans="1:9" ht="11.25" customHeight="1" x14ac:dyDescent="0.15">
      <c r="A216" t="s">
        <v>2368</v>
      </c>
      <c r="B216" t="s">
        <v>16</v>
      </c>
      <c r="C216" t="s">
        <v>2902</v>
      </c>
      <c r="D216" t="s">
        <v>2903</v>
      </c>
      <c r="E216" t="s">
        <v>2904</v>
      </c>
      <c r="F216" t="s">
        <v>2478</v>
      </c>
      <c r="G216" t="s">
        <v>28</v>
      </c>
      <c r="H216" t="s">
        <v>28</v>
      </c>
      <c r="I216" t="s">
        <v>970</v>
      </c>
    </row>
    <row r="217" spans="1:9" ht="11.25" customHeight="1" x14ac:dyDescent="0.15">
      <c r="A217" t="s">
        <v>2368</v>
      </c>
      <c r="B217" t="s">
        <v>16</v>
      </c>
      <c r="C217" t="s">
        <v>2905</v>
      </c>
      <c r="D217" t="s">
        <v>2906</v>
      </c>
      <c r="E217" t="s">
        <v>2907</v>
      </c>
      <c r="F217" t="s">
        <v>2441</v>
      </c>
      <c r="G217" t="s">
        <v>2908</v>
      </c>
      <c r="H217" t="s">
        <v>28</v>
      </c>
      <c r="I217" t="s">
        <v>970</v>
      </c>
    </row>
    <row r="218" spans="1:9" ht="11.25" customHeight="1" x14ac:dyDescent="0.15">
      <c r="A218" t="s">
        <v>2368</v>
      </c>
      <c r="B218" t="s">
        <v>16</v>
      </c>
      <c r="C218" t="s">
        <v>2909</v>
      </c>
      <c r="D218" t="s">
        <v>2910</v>
      </c>
      <c r="E218" t="s">
        <v>2911</v>
      </c>
      <c r="F218" t="s">
        <v>2499</v>
      </c>
      <c r="G218" t="s">
        <v>2912</v>
      </c>
      <c r="H218" t="s">
        <v>28</v>
      </c>
      <c r="I218" t="s">
        <v>970</v>
      </c>
    </row>
    <row r="219" spans="1:9" ht="11.25" customHeight="1" x14ac:dyDescent="0.15">
      <c r="A219" t="s">
        <v>2368</v>
      </c>
      <c r="B219" t="s">
        <v>16</v>
      </c>
      <c r="C219" t="s">
        <v>2542</v>
      </c>
      <c r="D219" t="s">
        <v>2543</v>
      </c>
      <c r="E219" t="s">
        <v>2544</v>
      </c>
      <c r="F219" t="s">
        <v>2412</v>
      </c>
      <c r="G219" t="s">
        <v>28</v>
      </c>
      <c r="H219" t="s">
        <v>28</v>
      </c>
      <c r="I219" t="s">
        <v>970</v>
      </c>
    </row>
    <row r="220" spans="1:9" ht="11.25" customHeight="1" x14ac:dyDescent="0.15">
      <c r="A220" t="s">
        <v>2368</v>
      </c>
      <c r="B220" t="s">
        <v>16</v>
      </c>
      <c r="C220" t="s">
        <v>2913</v>
      </c>
      <c r="D220" t="s">
        <v>2914</v>
      </c>
      <c r="E220" t="s">
        <v>2915</v>
      </c>
      <c r="F220" t="s">
        <v>2878</v>
      </c>
      <c r="G220" t="s">
        <v>28</v>
      </c>
      <c r="H220" t="s">
        <v>28</v>
      </c>
      <c r="I220" t="s">
        <v>970</v>
      </c>
    </row>
    <row r="221" spans="1:9" ht="11.25" customHeight="1" x14ac:dyDescent="0.15">
      <c r="A221" t="s">
        <v>2368</v>
      </c>
      <c r="B221" t="s">
        <v>16</v>
      </c>
      <c r="C221" t="s">
        <v>2545</v>
      </c>
      <c r="D221" t="s">
        <v>2546</v>
      </c>
      <c r="E221" t="s">
        <v>2547</v>
      </c>
      <c r="F221" t="s">
        <v>2531</v>
      </c>
      <c r="G221" t="s">
        <v>28</v>
      </c>
      <c r="H221" t="s">
        <v>28</v>
      </c>
      <c r="I221" t="s">
        <v>970</v>
      </c>
    </row>
    <row r="222" spans="1:9" ht="11.25" customHeight="1" x14ac:dyDescent="0.15">
      <c r="A222" t="s">
        <v>2368</v>
      </c>
      <c r="B222" t="s">
        <v>16</v>
      </c>
      <c r="C222" t="s">
        <v>2916</v>
      </c>
      <c r="D222" t="s">
        <v>2917</v>
      </c>
      <c r="E222" t="s">
        <v>2918</v>
      </c>
      <c r="F222" t="s">
        <v>2441</v>
      </c>
      <c r="G222" t="s">
        <v>28</v>
      </c>
      <c r="H222" t="s">
        <v>28</v>
      </c>
      <c r="I222" t="s">
        <v>970</v>
      </c>
    </row>
    <row r="223" spans="1:9" ht="11.25" customHeight="1" x14ac:dyDescent="0.15">
      <c r="A223" t="s">
        <v>2368</v>
      </c>
      <c r="B223" t="s">
        <v>16</v>
      </c>
      <c r="C223" t="s">
        <v>2919</v>
      </c>
      <c r="D223" t="s">
        <v>2920</v>
      </c>
      <c r="E223" t="s">
        <v>2921</v>
      </c>
      <c r="F223" t="s">
        <v>2792</v>
      </c>
      <c r="G223" t="s">
        <v>28</v>
      </c>
      <c r="H223" t="s">
        <v>28</v>
      </c>
      <c r="I223" t="s">
        <v>970</v>
      </c>
    </row>
    <row r="224" spans="1:9" ht="11.25" customHeight="1" x14ac:dyDescent="0.15">
      <c r="A224" t="s">
        <v>2368</v>
      </c>
      <c r="B224" t="s">
        <v>16</v>
      </c>
      <c r="C224" t="s">
        <v>2922</v>
      </c>
      <c r="D224" t="s">
        <v>2923</v>
      </c>
      <c r="E224" t="s">
        <v>2924</v>
      </c>
      <c r="F224" t="s">
        <v>2375</v>
      </c>
      <c r="G224" t="s">
        <v>28</v>
      </c>
      <c r="H224" t="s">
        <v>28</v>
      </c>
      <c r="I224" t="s">
        <v>970</v>
      </c>
    </row>
    <row r="225" spans="1:9" ht="11.25" customHeight="1" x14ac:dyDescent="0.15">
      <c r="A225" t="s">
        <v>2368</v>
      </c>
      <c r="B225" t="s">
        <v>16</v>
      </c>
      <c r="C225" t="s">
        <v>2548</v>
      </c>
      <c r="D225" t="s">
        <v>2549</v>
      </c>
      <c r="E225" t="s">
        <v>2550</v>
      </c>
      <c r="F225" t="s">
        <v>2551</v>
      </c>
      <c r="G225" t="s">
        <v>28</v>
      </c>
      <c r="H225" t="s">
        <v>28</v>
      </c>
      <c r="I225" t="s">
        <v>970</v>
      </c>
    </row>
    <row r="226" spans="1:9" ht="11.25" customHeight="1" x14ac:dyDescent="0.15">
      <c r="A226" t="s">
        <v>2368</v>
      </c>
      <c r="B226" t="s">
        <v>16</v>
      </c>
      <c r="C226" t="s">
        <v>2925</v>
      </c>
      <c r="D226" t="s">
        <v>2926</v>
      </c>
      <c r="E226" t="s">
        <v>2927</v>
      </c>
      <c r="F226" t="s">
        <v>2792</v>
      </c>
      <c r="G226" t="s">
        <v>28</v>
      </c>
      <c r="H226" t="s">
        <v>28</v>
      </c>
      <c r="I226" t="s">
        <v>970</v>
      </c>
    </row>
    <row r="227" spans="1:9" ht="11.25" customHeight="1" x14ac:dyDescent="0.15">
      <c r="A227" t="s">
        <v>2368</v>
      </c>
      <c r="B227" t="s">
        <v>16</v>
      </c>
      <c r="C227" t="s">
        <v>2552</v>
      </c>
      <c r="D227" t="s">
        <v>2553</v>
      </c>
      <c r="E227" t="s">
        <v>2554</v>
      </c>
      <c r="F227" t="s">
        <v>54</v>
      </c>
      <c r="G227" t="s">
        <v>28</v>
      </c>
      <c r="H227" t="s">
        <v>28</v>
      </c>
      <c r="I227" t="s">
        <v>970</v>
      </c>
    </row>
    <row r="228" spans="1:9" ht="11.25" customHeight="1" x14ac:dyDescent="0.15">
      <c r="A228" t="s">
        <v>2368</v>
      </c>
      <c r="B228" t="s">
        <v>16</v>
      </c>
      <c r="C228" t="s">
        <v>2562</v>
      </c>
      <c r="D228" t="s">
        <v>2563</v>
      </c>
      <c r="E228" t="s">
        <v>2564</v>
      </c>
      <c r="F228" t="s">
        <v>2565</v>
      </c>
      <c r="G228" t="s">
        <v>28</v>
      </c>
      <c r="H228" t="s">
        <v>28</v>
      </c>
      <c r="I228" t="s">
        <v>970</v>
      </c>
    </row>
    <row r="229" spans="1:9" ht="11.25" customHeight="1" x14ac:dyDescent="0.15">
      <c r="A229" t="s">
        <v>2368</v>
      </c>
      <c r="B229" t="s">
        <v>16</v>
      </c>
      <c r="C229" t="s">
        <v>2928</v>
      </c>
      <c r="D229" t="s">
        <v>2929</v>
      </c>
      <c r="E229" t="s">
        <v>2386</v>
      </c>
      <c r="F229" t="s">
        <v>2930</v>
      </c>
      <c r="G229" t="s">
        <v>28</v>
      </c>
      <c r="H229" t="s">
        <v>28</v>
      </c>
      <c r="I229" t="s">
        <v>970</v>
      </c>
    </row>
    <row r="230" spans="1:9" ht="11.25" customHeight="1" x14ac:dyDescent="0.15">
      <c r="A230" t="s">
        <v>2368</v>
      </c>
      <c r="B230" t="s">
        <v>16</v>
      </c>
      <c r="C230" t="s">
        <v>2931</v>
      </c>
      <c r="D230" t="s">
        <v>2932</v>
      </c>
      <c r="E230" t="s">
        <v>2933</v>
      </c>
      <c r="F230" t="s">
        <v>2375</v>
      </c>
      <c r="G230" t="s">
        <v>28</v>
      </c>
      <c r="H230" t="s">
        <v>28</v>
      </c>
      <c r="I230" t="s">
        <v>970</v>
      </c>
    </row>
    <row r="231" spans="1:9" ht="11.25" customHeight="1" x14ac:dyDescent="0.15">
      <c r="A231" t="s">
        <v>2368</v>
      </c>
      <c r="B231" t="s">
        <v>16</v>
      </c>
      <c r="C231" t="s">
        <v>2583</v>
      </c>
      <c r="D231" t="s">
        <v>2584</v>
      </c>
      <c r="E231" t="s">
        <v>2585</v>
      </c>
      <c r="F231" t="s">
        <v>2408</v>
      </c>
      <c r="G231" t="s">
        <v>28</v>
      </c>
      <c r="H231" t="s">
        <v>28</v>
      </c>
      <c r="I231" t="s">
        <v>970</v>
      </c>
    </row>
    <row r="232" spans="1:9" ht="11.25" customHeight="1" x14ac:dyDescent="0.15">
      <c r="A232" t="s">
        <v>2368</v>
      </c>
      <c r="B232" t="s">
        <v>16</v>
      </c>
      <c r="C232" t="s">
        <v>2934</v>
      </c>
      <c r="D232" t="s">
        <v>2935</v>
      </c>
      <c r="E232" t="s">
        <v>2936</v>
      </c>
      <c r="F232" t="s">
        <v>2412</v>
      </c>
      <c r="G232" t="s">
        <v>2937</v>
      </c>
      <c r="H232" t="s">
        <v>28</v>
      </c>
      <c r="I232" t="s">
        <v>970</v>
      </c>
    </row>
    <row r="233" spans="1:9" ht="11.25" customHeight="1" x14ac:dyDescent="0.15">
      <c r="A233" t="s">
        <v>2368</v>
      </c>
      <c r="B233" t="s">
        <v>16</v>
      </c>
      <c r="C233" t="s">
        <v>2938</v>
      </c>
      <c r="D233" t="s">
        <v>2939</v>
      </c>
      <c r="E233" t="s">
        <v>2940</v>
      </c>
      <c r="F233" t="s">
        <v>2424</v>
      </c>
      <c r="G233" t="s">
        <v>2941</v>
      </c>
      <c r="H233" t="s">
        <v>28</v>
      </c>
      <c r="I233" t="s">
        <v>970</v>
      </c>
    </row>
    <row r="234" spans="1:9" ht="11.25" customHeight="1" x14ac:dyDescent="0.15">
      <c r="A234" t="s">
        <v>2368</v>
      </c>
      <c r="B234" t="s">
        <v>16</v>
      </c>
      <c r="C234" t="s">
        <v>2942</v>
      </c>
      <c r="D234" t="s">
        <v>2943</v>
      </c>
      <c r="E234" t="s">
        <v>2944</v>
      </c>
      <c r="F234" t="s">
        <v>2689</v>
      </c>
      <c r="G234" t="s">
        <v>2945</v>
      </c>
      <c r="H234" t="s">
        <v>28</v>
      </c>
      <c r="I234" t="s">
        <v>970</v>
      </c>
    </row>
    <row r="235" spans="1:9" ht="11.25" customHeight="1" x14ac:dyDescent="0.15">
      <c r="A235" t="s">
        <v>2368</v>
      </c>
      <c r="B235" t="s">
        <v>16</v>
      </c>
      <c r="C235" t="s">
        <v>2946</v>
      </c>
      <c r="D235" t="s">
        <v>2947</v>
      </c>
      <c r="E235" t="s">
        <v>2948</v>
      </c>
      <c r="F235" t="s">
        <v>2949</v>
      </c>
      <c r="G235" t="s">
        <v>28</v>
      </c>
      <c r="H235" t="s">
        <v>28</v>
      </c>
      <c r="I235" t="s">
        <v>970</v>
      </c>
    </row>
    <row r="236" spans="1:9" ht="11.25" customHeight="1" x14ac:dyDescent="0.15">
      <c r="A236" t="s">
        <v>2368</v>
      </c>
      <c r="B236" t="s">
        <v>16</v>
      </c>
      <c r="C236" t="s">
        <v>2950</v>
      </c>
      <c r="D236" t="s">
        <v>2951</v>
      </c>
      <c r="E236" t="s">
        <v>2952</v>
      </c>
      <c r="F236" t="s">
        <v>2379</v>
      </c>
      <c r="G236" t="s">
        <v>2953</v>
      </c>
      <c r="H236" t="s">
        <v>28</v>
      </c>
      <c r="I236" t="s">
        <v>970</v>
      </c>
    </row>
    <row r="237" spans="1:9" ht="11.25" customHeight="1" x14ac:dyDescent="0.15">
      <c r="A237" t="s">
        <v>2368</v>
      </c>
      <c r="B237" t="s">
        <v>16</v>
      </c>
      <c r="C237" t="s">
        <v>2954</v>
      </c>
      <c r="D237" t="s">
        <v>2955</v>
      </c>
      <c r="E237" t="s">
        <v>2956</v>
      </c>
      <c r="F237" t="s">
        <v>2400</v>
      </c>
      <c r="G237" t="s">
        <v>28</v>
      </c>
      <c r="H237" t="s">
        <v>28</v>
      </c>
      <c r="I237" t="s">
        <v>970</v>
      </c>
    </row>
    <row r="238" spans="1:9" ht="11.25" customHeight="1" x14ac:dyDescent="0.15">
      <c r="A238" t="s">
        <v>2368</v>
      </c>
      <c r="B238" t="s">
        <v>16</v>
      </c>
      <c r="C238" t="s">
        <v>2957</v>
      </c>
      <c r="D238" t="s">
        <v>2958</v>
      </c>
      <c r="E238" t="s">
        <v>2959</v>
      </c>
      <c r="F238" t="s">
        <v>2960</v>
      </c>
      <c r="G238" t="s">
        <v>28</v>
      </c>
      <c r="H238" t="s">
        <v>28</v>
      </c>
      <c r="I238" t="s">
        <v>970</v>
      </c>
    </row>
    <row r="239" spans="1:9" ht="11.25" customHeight="1" x14ac:dyDescent="0.15">
      <c r="A239" t="s">
        <v>2368</v>
      </c>
      <c r="B239" t="s">
        <v>16</v>
      </c>
      <c r="C239" t="s">
        <v>2961</v>
      </c>
      <c r="D239" t="s">
        <v>2962</v>
      </c>
      <c r="E239" t="s">
        <v>2963</v>
      </c>
      <c r="F239" t="s">
        <v>2766</v>
      </c>
      <c r="G239" t="s">
        <v>28</v>
      </c>
      <c r="H239" t="s">
        <v>28</v>
      </c>
      <c r="I239" t="s">
        <v>970</v>
      </c>
    </row>
    <row r="240" spans="1:9" ht="11.25" customHeight="1" x14ac:dyDescent="0.15">
      <c r="A240" t="s">
        <v>2368</v>
      </c>
      <c r="B240" t="s">
        <v>16</v>
      </c>
      <c r="C240" t="s">
        <v>2964</v>
      </c>
      <c r="D240" t="s">
        <v>2965</v>
      </c>
      <c r="E240" t="s">
        <v>2966</v>
      </c>
      <c r="F240" t="s">
        <v>2792</v>
      </c>
      <c r="G240" t="s">
        <v>2967</v>
      </c>
      <c r="H240" t="s">
        <v>28</v>
      </c>
      <c r="I240" t="s">
        <v>970</v>
      </c>
    </row>
    <row r="241" spans="1:9" ht="11.25" customHeight="1" x14ac:dyDescent="0.15">
      <c r="A241" t="s">
        <v>2368</v>
      </c>
      <c r="B241" t="s">
        <v>16</v>
      </c>
      <c r="C241" t="s">
        <v>2598</v>
      </c>
      <c r="D241" t="s">
        <v>2599</v>
      </c>
      <c r="E241" t="s">
        <v>2600</v>
      </c>
      <c r="F241" t="s">
        <v>2601</v>
      </c>
      <c r="G241" t="s">
        <v>2602</v>
      </c>
      <c r="H241" t="s">
        <v>28</v>
      </c>
      <c r="I241" t="s">
        <v>970</v>
      </c>
    </row>
    <row r="242" spans="1:9" ht="11.25" customHeight="1" x14ac:dyDescent="0.15">
      <c r="A242" t="s">
        <v>2368</v>
      </c>
      <c r="B242" t="s">
        <v>16</v>
      </c>
      <c r="C242" t="s">
        <v>2968</v>
      </c>
      <c r="D242" t="s">
        <v>2969</v>
      </c>
      <c r="E242" t="s">
        <v>2970</v>
      </c>
      <c r="F242" t="s">
        <v>2412</v>
      </c>
      <c r="G242" t="s">
        <v>28</v>
      </c>
      <c r="H242" t="s">
        <v>28</v>
      </c>
      <c r="I242" t="s">
        <v>970</v>
      </c>
    </row>
    <row r="243" spans="1:9" ht="11.25" customHeight="1" x14ac:dyDescent="0.15">
      <c r="A243" t="s">
        <v>2368</v>
      </c>
      <c r="B243" t="s">
        <v>16</v>
      </c>
      <c r="C243" t="s">
        <v>2971</v>
      </c>
      <c r="D243" t="s">
        <v>2972</v>
      </c>
      <c r="E243" t="s">
        <v>2973</v>
      </c>
      <c r="F243" t="s">
        <v>2601</v>
      </c>
      <c r="G243" t="s">
        <v>28</v>
      </c>
      <c r="H243" t="s">
        <v>28</v>
      </c>
      <c r="I243" t="s">
        <v>970</v>
      </c>
    </row>
    <row r="244" spans="1:9" ht="11.25" customHeight="1" x14ac:dyDescent="0.15">
      <c r="A244" t="s">
        <v>2368</v>
      </c>
      <c r="B244" t="s">
        <v>16</v>
      </c>
      <c r="C244" t="s">
        <v>2974</v>
      </c>
      <c r="D244" t="s">
        <v>2975</v>
      </c>
      <c r="E244" t="s">
        <v>2976</v>
      </c>
      <c r="F244" t="s">
        <v>2371</v>
      </c>
      <c r="G244" t="s">
        <v>28</v>
      </c>
      <c r="H244" t="s">
        <v>28</v>
      </c>
      <c r="I244" t="s">
        <v>970</v>
      </c>
    </row>
    <row r="245" spans="1:9" ht="11.25" customHeight="1" x14ac:dyDescent="0.15">
      <c r="A245" t="s">
        <v>2368</v>
      </c>
      <c r="B245" t="s">
        <v>16</v>
      </c>
      <c r="C245" t="s">
        <v>2611</v>
      </c>
      <c r="D245" t="s">
        <v>2612</v>
      </c>
      <c r="E245" t="s">
        <v>2613</v>
      </c>
      <c r="F245" t="s">
        <v>2614</v>
      </c>
      <c r="G245" t="s">
        <v>28</v>
      </c>
      <c r="H245" t="s">
        <v>28</v>
      </c>
      <c r="I245" t="s">
        <v>970</v>
      </c>
    </row>
    <row r="246" spans="1:9" ht="11.25" customHeight="1" x14ac:dyDescent="0.15">
      <c r="A246" t="s">
        <v>2368</v>
      </c>
      <c r="B246" t="s">
        <v>16</v>
      </c>
      <c r="C246" t="s">
        <v>2977</v>
      </c>
      <c r="D246" t="s">
        <v>2978</v>
      </c>
      <c r="E246" t="s">
        <v>2979</v>
      </c>
      <c r="F246" t="s">
        <v>2375</v>
      </c>
      <c r="G246" t="s">
        <v>28</v>
      </c>
      <c r="H246" t="s">
        <v>28</v>
      </c>
      <c r="I246" t="s">
        <v>970</v>
      </c>
    </row>
    <row r="247" spans="1:9" ht="11.25" customHeight="1" x14ac:dyDescent="0.15">
      <c r="A247" t="s">
        <v>2368</v>
      </c>
      <c r="B247" t="s">
        <v>16</v>
      </c>
      <c r="C247" t="s">
        <v>2615</v>
      </c>
      <c r="D247" t="s">
        <v>2616</v>
      </c>
      <c r="E247" t="s">
        <v>2617</v>
      </c>
      <c r="F247" t="s">
        <v>2601</v>
      </c>
      <c r="G247" t="s">
        <v>28</v>
      </c>
      <c r="H247" t="s">
        <v>28</v>
      </c>
      <c r="I247" t="s">
        <v>970</v>
      </c>
    </row>
    <row r="248" spans="1:9" ht="11.25" customHeight="1" x14ac:dyDescent="0.15">
      <c r="A248" t="s">
        <v>2368</v>
      </c>
      <c r="B248" t="s">
        <v>16</v>
      </c>
      <c r="C248" t="s">
        <v>2621</v>
      </c>
      <c r="D248" t="s">
        <v>2622</v>
      </c>
      <c r="E248" t="s">
        <v>2623</v>
      </c>
      <c r="F248" t="s">
        <v>2601</v>
      </c>
      <c r="G248" t="s">
        <v>28</v>
      </c>
      <c r="H248" t="s">
        <v>28</v>
      </c>
      <c r="I248" t="s">
        <v>970</v>
      </c>
    </row>
    <row r="249" spans="1:9" ht="11.25" customHeight="1" x14ac:dyDescent="0.15">
      <c r="A249" t="s">
        <v>2368</v>
      </c>
      <c r="B249" t="s">
        <v>16</v>
      </c>
      <c r="C249" t="s">
        <v>2980</v>
      </c>
      <c r="D249" t="s">
        <v>2981</v>
      </c>
      <c r="E249" t="s">
        <v>2982</v>
      </c>
      <c r="F249" t="s">
        <v>2601</v>
      </c>
      <c r="G249" t="s">
        <v>28</v>
      </c>
      <c r="H249" t="s">
        <v>28</v>
      </c>
      <c r="I249" t="s">
        <v>970</v>
      </c>
    </row>
    <row r="250" spans="1:9" ht="11.25" customHeight="1" x14ac:dyDescent="0.15">
      <c r="A250" t="s">
        <v>2368</v>
      </c>
      <c r="B250" t="s">
        <v>16</v>
      </c>
      <c r="C250" t="s">
        <v>2983</v>
      </c>
      <c r="D250" t="s">
        <v>2984</v>
      </c>
      <c r="E250" t="s">
        <v>2985</v>
      </c>
      <c r="F250" t="s">
        <v>2551</v>
      </c>
      <c r="G250" t="s">
        <v>2986</v>
      </c>
      <c r="H250" t="s">
        <v>28</v>
      </c>
      <c r="I250" t="s">
        <v>970</v>
      </c>
    </row>
    <row r="251" spans="1:9" ht="11.25" customHeight="1" x14ac:dyDescent="0.15">
      <c r="A251" t="s">
        <v>2368</v>
      </c>
      <c r="B251" t="s">
        <v>16</v>
      </c>
      <c r="C251" t="s">
        <v>2987</v>
      </c>
      <c r="D251" t="s">
        <v>2988</v>
      </c>
      <c r="E251" t="s">
        <v>2989</v>
      </c>
      <c r="F251" t="s">
        <v>2375</v>
      </c>
      <c r="G251" t="s">
        <v>2990</v>
      </c>
      <c r="H251" t="s">
        <v>28</v>
      </c>
      <c r="I251" t="s">
        <v>970</v>
      </c>
    </row>
    <row r="252" spans="1:9" ht="11.25" customHeight="1" x14ac:dyDescent="0.15">
      <c r="A252" t="s">
        <v>2368</v>
      </c>
      <c r="B252" t="s">
        <v>16</v>
      </c>
      <c r="C252" t="s">
        <v>2991</v>
      </c>
      <c r="D252" t="s">
        <v>2992</v>
      </c>
      <c r="E252" t="s">
        <v>2993</v>
      </c>
      <c r="F252" t="s">
        <v>2507</v>
      </c>
      <c r="G252" t="s">
        <v>28</v>
      </c>
      <c r="H252" t="s">
        <v>28</v>
      </c>
      <c r="I252" t="s">
        <v>970</v>
      </c>
    </row>
    <row r="253" spans="1:9" ht="11.25" customHeight="1" x14ac:dyDescent="0.15">
      <c r="A253" t="s">
        <v>2368</v>
      </c>
      <c r="B253" t="s">
        <v>16</v>
      </c>
      <c r="C253" t="s">
        <v>2994</v>
      </c>
      <c r="D253" t="s">
        <v>2995</v>
      </c>
      <c r="E253" t="s">
        <v>2996</v>
      </c>
      <c r="F253" t="s">
        <v>2792</v>
      </c>
      <c r="G253" t="s">
        <v>2997</v>
      </c>
      <c r="H253" t="s">
        <v>28</v>
      </c>
      <c r="I253" t="s">
        <v>970</v>
      </c>
    </row>
    <row r="254" spans="1:9" ht="11.25" customHeight="1" x14ac:dyDescent="0.15">
      <c r="A254" t="s">
        <v>2368</v>
      </c>
      <c r="B254" t="s">
        <v>16</v>
      </c>
      <c r="C254" t="s">
        <v>2998</v>
      </c>
      <c r="D254" t="s">
        <v>2999</v>
      </c>
      <c r="E254" t="s">
        <v>3000</v>
      </c>
      <c r="F254" t="s">
        <v>2433</v>
      </c>
      <c r="G254" t="s">
        <v>3001</v>
      </c>
      <c r="H254" t="s">
        <v>28</v>
      </c>
      <c r="I254" t="s">
        <v>970</v>
      </c>
    </row>
    <row r="255" spans="1:9" ht="11.25" customHeight="1" x14ac:dyDescent="0.15">
      <c r="A255" t="s">
        <v>2368</v>
      </c>
      <c r="B255" t="s">
        <v>16</v>
      </c>
      <c r="C255" t="s">
        <v>3002</v>
      </c>
      <c r="D255" t="s">
        <v>3003</v>
      </c>
      <c r="E255" t="s">
        <v>3004</v>
      </c>
      <c r="F255" t="s">
        <v>2689</v>
      </c>
      <c r="G255" t="s">
        <v>3005</v>
      </c>
      <c r="H255" t="s">
        <v>28</v>
      </c>
      <c r="I255" t="s">
        <v>970</v>
      </c>
    </row>
    <row r="256" spans="1:9" ht="11.25" customHeight="1" x14ac:dyDescent="0.15">
      <c r="A256" t="s">
        <v>2368</v>
      </c>
      <c r="B256" t="s">
        <v>16</v>
      </c>
      <c r="C256" t="s">
        <v>2633</v>
      </c>
      <c r="D256" t="s">
        <v>2634</v>
      </c>
      <c r="E256" t="s">
        <v>2635</v>
      </c>
      <c r="F256" t="s">
        <v>2601</v>
      </c>
      <c r="G256" t="s">
        <v>28</v>
      </c>
      <c r="H256" t="s">
        <v>28</v>
      </c>
      <c r="I256" t="s">
        <v>970</v>
      </c>
    </row>
    <row r="257" spans="1:9" ht="11.25" customHeight="1" x14ac:dyDescent="0.15">
      <c r="A257" t="s">
        <v>2368</v>
      </c>
      <c r="B257" t="s">
        <v>16</v>
      </c>
      <c r="C257" t="s">
        <v>3006</v>
      </c>
      <c r="D257" t="s">
        <v>3007</v>
      </c>
      <c r="E257" t="s">
        <v>3008</v>
      </c>
      <c r="F257" t="s">
        <v>2551</v>
      </c>
      <c r="G257" t="s">
        <v>28</v>
      </c>
      <c r="H257" t="s">
        <v>28</v>
      </c>
      <c r="I257" t="s">
        <v>970</v>
      </c>
    </row>
    <row r="258" spans="1:9" ht="11.25" customHeight="1" x14ac:dyDescent="0.15">
      <c r="A258" t="s">
        <v>2368</v>
      </c>
      <c r="B258" t="s">
        <v>16</v>
      </c>
      <c r="C258" t="s">
        <v>2646</v>
      </c>
      <c r="D258" t="s">
        <v>2647</v>
      </c>
      <c r="E258" t="s">
        <v>2648</v>
      </c>
      <c r="F258" t="s">
        <v>2412</v>
      </c>
      <c r="G258" t="s">
        <v>28</v>
      </c>
      <c r="H258" t="s">
        <v>28</v>
      </c>
      <c r="I258" t="s">
        <v>970</v>
      </c>
    </row>
    <row r="259" spans="1:9" ht="11.25" customHeight="1" x14ac:dyDescent="0.15">
      <c r="A259" t="s">
        <v>2368</v>
      </c>
      <c r="B259" t="s">
        <v>16</v>
      </c>
      <c r="C259" t="s">
        <v>2649</v>
      </c>
      <c r="D259" t="s">
        <v>2650</v>
      </c>
      <c r="E259" t="s">
        <v>2651</v>
      </c>
      <c r="F259" t="s">
        <v>2375</v>
      </c>
      <c r="G259" t="s">
        <v>28</v>
      </c>
      <c r="H259" t="s">
        <v>28</v>
      </c>
      <c r="I259" t="s">
        <v>970</v>
      </c>
    </row>
    <row r="260" spans="1:9" ht="11.25" customHeight="1" x14ac:dyDescent="0.15">
      <c r="A260" t="s">
        <v>2368</v>
      </c>
      <c r="B260" t="s">
        <v>16</v>
      </c>
      <c r="C260" t="s">
        <v>2664</v>
      </c>
      <c r="D260" t="s">
        <v>2665</v>
      </c>
      <c r="E260" t="s">
        <v>2666</v>
      </c>
      <c r="F260" t="s">
        <v>2572</v>
      </c>
      <c r="G260" t="s">
        <v>2667</v>
      </c>
      <c r="H260" t="s">
        <v>28</v>
      </c>
      <c r="I260" t="s">
        <v>970</v>
      </c>
    </row>
    <row r="261" spans="1:9" ht="11.25" customHeight="1" x14ac:dyDescent="0.15">
      <c r="A261" t="s">
        <v>2368</v>
      </c>
      <c r="B261" t="s">
        <v>16</v>
      </c>
      <c r="C261" t="s">
        <v>3009</v>
      </c>
      <c r="D261" t="s">
        <v>3010</v>
      </c>
      <c r="E261" t="s">
        <v>3011</v>
      </c>
      <c r="F261" t="s">
        <v>2558</v>
      </c>
      <c r="G261" t="s">
        <v>28</v>
      </c>
      <c r="H261" t="s">
        <v>28</v>
      </c>
      <c r="I261" t="s">
        <v>970</v>
      </c>
    </row>
    <row r="262" spans="1:9" ht="11.25" customHeight="1" x14ac:dyDescent="0.15">
      <c r="A262" t="s">
        <v>2368</v>
      </c>
      <c r="B262" t="s">
        <v>16</v>
      </c>
      <c r="C262" t="s">
        <v>3012</v>
      </c>
      <c r="D262" t="s">
        <v>3013</v>
      </c>
      <c r="E262" t="s">
        <v>3014</v>
      </c>
      <c r="F262" t="s">
        <v>2507</v>
      </c>
      <c r="G262" t="s">
        <v>28</v>
      </c>
      <c r="H262" t="s">
        <v>28</v>
      </c>
      <c r="I262" t="s">
        <v>970</v>
      </c>
    </row>
    <row r="263" spans="1:9" ht="11.25" customHeight="1" x14ac:dyDescent="0.15">
      <c r="A263" t="s">
        <v>2368</v>
      </c>
      <c r="B263" t="s">
        <v>16</v>
      </c>
      <c r="C263" t="s">
        <v>2680</v>
      </c>
      <c r="D263" t="s">
        <v>2681</v>
      </c>
      <c r="E263" t="s">
        <v>2682</v>
      </c>
      <c r="F263" t="s">
        <v>2375</v>
      </c>
      <c r="G263" t="s">
        <v>28</v>
      </c>
      <c r="H263" t="s">
        <v>28</v>
      </c>
      <c r="I263" t="s">
        <v>970</v>
      </c>
    </row>
    <row r="264" spans="1:9" ht="11.25" customHeight="1" x14ac:dyDescent="0.15">
      <c r="A264" t="s">
        <v>2368</v>
      </c>
      <c r="B264" t="s">
        <v>16</v>
      </c>
      <c r="C264" t="s">
        <v>3015</v>
      </c>
      <c r="D264" t="s">
        <v>3016</v>
      </c>
      <c r="E264" t="s">
        <v>3017</v>
      </c>
      <c r="F264" t="s">
        <v>3018</v>
      </c>
      <c r="G264" t="s">
        <v>28</v>
      </c>
      <c r="H264" t="s">
        <v>28</v>
      </c>
      <c r="I264" t="s">
        <v>970</v>
      </c>
    </row>
    <row r="265" spans="1:9" ht="11.25" customHeight="1" x14ac:dyDescent="0.15">
      <c r="A265" t="s">
        <v>2368</v>
      </c>
      <c r="B265" t="s">
        <v>16</v>
      </c>
      <c r="C265" t="s">
        <v>3019</v>
      </c>
      <c r="D265" t="s">
        <v>3020</v>
      </c>
      <c r="E265" t="s">
        <v>3021</v>
      </c>
      <c r="F265" t="s">
        <v>2572</v>
      </c>
      <c r="G265" t="s">
        <v>28</v>
      </c>
      <c r="H265" t="s">
        <v>28</v>
      </c>
      <c r="I265" t="s">
        <v>970</v>
      </c>
    </row>
    <row r="266" spans="1:9" ht="11.25" customHeight="1" x14ac:dyDescent="0.15">
      <c r="A266" t="s">
        <v>2368</v>
      </c>
      <c r="B266" t="s">
        <v>16</v>
      </c>
      <c r="C266" t="s">
        <v>3022</v>
      </c>
      <c r="D266" t="s">
        <v>3023</v>
      </c>
      <c r="E266" t="s">
        <v>3024</v>
      </c>
      <c r="F266" t="s">
        <v>2400</v>
      </c>
      <c r="G266" t="s">
        <v>28</v>
      </c>
      <c r="H266" t="s">
        <v>28</v>
      </c>
      <c r="I266" t="s">
        <v>970</v>
      </c>
    </row>
    <row r="267" spans="1:9" ht="11.25" customHeight="1" x14ac:dyDescent="0.15">
      <c r="A267" t="s">
        <v>2368</v>
      </c>
      <c r="B267" t="s">
        <v>16</v>
      </c>
      <c r="C267" t="s">
        <v>2683</v>
      </c>
      <c r="D267" t="s">
        <v>2684</v>
      </c>
      <c r="E267" t="s">
        <v>2685</v>
      </c>
      <c r="F267" t="s">
        <v>2551</v>
      </c>
      <c r="G267" t="s">
        <v>2434</v>
      </c>
      <c r="H267" t="s">
        <v>28</v>
      </c>
      <c r="I267" t="s">
        <v>970</v>
      </c>
    </row>
    <row r="268" spans="1:9" ht="11.25" customHeight="1" x14ac:dyDescent="0.15">
      <c r="A268" t="s">
        <v>2368</v>
      </c>
      <c r="B268" t="s">
        <v>16</v>
      </c>
      <c r="C268" t="s">
        <v>3025</v>
      </c>
      <c r="D268" t="s">
        <v>3026</v>
      </c>
      <c r="E268" t="s">
        <v>3027</v>
      </c>
      <c r="F268" t="s">
        <v>2551</v>
      </c>
      <c r="G268" t="s">
        <v>28</v>
      </c>
      <c r="H268" t="s">
        <v>28</v>
      </c>
      <c r="I268" t="s">
        <v>970</v>
      </c>
    </row>
    <row r="269" spans="1:9" ht="11.25" customHeight="1" x14ac:dyDescent="0.15">
      <c r="A269" t="s">
        <v>2368</v>
      </c>
      <c r="B269" t="s">
        <v>16</v>
      </c>
      <c r="C269" t="s">
        <v>2693</v>
      </c>
      <c r="D269" t="s">
        <v>2694</v>
      </c>
      <c r="E269" t="s">
        <v>2695</v>
      </c>
      <c r="F269" t="s">
        <v>2696</v>
      </c>
      <c r="G269" t="s">
        <v>28</v>
      </c>
      <c r="H269" t="s">
        <v>28</v>
      </c>
      <c r="I269" t="s">
        <v>970</v>
      </c>
    </row>
    <row r="270" spans="1:9" ht="11.25" customHeight="1" x14ac:dyDescent="0.15">
      <c r="A270" t="s">
        <v>2368</v>
      </c>
      <c r="B270" t="s">
        <v>16</v>
      </c>
      <c r="C270" t="s">
        <v>3028</v>
      </c>
      <c r="D270" t="s">
        <v>3029</v>
      </c>
      <c r="E270" t="s">
        <v>3030</v>
      </c>
      <c r="F270" t="s">
        <v>2433</v>
      </c>
      <c r="G270" t="s">
        <v>28</v>
      </c>
      <c r="H270" t="s">
        <v>28</v>
      </c>
      <c r="I270" t="s">
        <v>970</v>
      </c>
    </row>
    <row r="271" spans="1:9" ht="11.25" customHeight="1" x14ac:dyDescent="0.15">
      <c r="A271" t="s">
        <v>2368</v>
      </c>
      <c r="B271" t="s">
        <v>16</v>
      </c>
      <c r="C271" t="s">
        <v>2707</v>
      </c>
      <c r="D271" t="s">
        <v>2708</v>
      </c>
      <c r="E271" t="s">
        <v>2709</v>
      </c>
      <c r="F271" t="s">
        <v>2710</v>
      </c>
      <c r="G271" t="s">
        <v>28</v>
      </c>
      <c r="H271" t="s">
        <v>28</v>
      </c>
      <c r="I271" t="s">
        <v>970</v>
      </c>
    </row>
    <row r="272" spans="1:9" ht="11.25" customHeight="1" x14ac:dyDescent="0.15">
      <c r="A272" t="s">
        <v>2368</v>
      </c>
      <c r="B272" t="s">
        <v>16</v>
      </c>
      <c r="C272" t="s">
        <v>3031</v>
      </c>
      <c r="D272" t="s">
        <v>3032</v>
      </c>
      <c r="E272" t="s">
        <v>3033</v>
      </c>
      <c r="F272" t="s">
        <v>2400</v>
      </c>
      <c r="G272" t="s">
        <v>28</v>
      </c>
      <c r="H272" t="s">
        <v>28</v>
      </c>
      <c r="I272" t="s">
        <v>970</v>
      </c>
    </row>
    <row r="273" spans="1:9" ht="11.25" customHeight="1" x14ac:dyDescent="0.15">
      <c r="A273" t="s">
        <v>2368</v>
      </c>
      <c r="B273" t="s">
        <v>16</v>
      </c>
      <c r="C273" t="s">
        <v>3034</v>
      </c>
      <c r="D273" t="s">
        <v>3035</v>
      </c>
      <c r="E273" t="s">
        <v>3036</v>
      </c>
      <c r="F273" t="s">
        <v>2601</v>
      </c>
      <c r="G273" t="s">
        <v>28</v>
      </c>
      <c r="H273" t="s">
        <v>28</v>
      </c>
      <c r="I273" t="s">
        <v>970</v>
      </c>
    </row>
    <row r="274" spans="1:9" ht="11.25" customHeight="1" x14ac:dyDescent="0.15">
      <c r="A274" t="s">
        <v>2368</v>
      </c>
      <c r="B274" t="s">
        <v>16</v>
      </c>
      <c r="C274" t="s">
        <v>3037</v>
      </c>
      <c r="D274" t="s">
        <v>3038</v>
      </c>
      <c r="E274" t="s">
        <v>3039</v>
      </c>
      <c r="F274" t="s">
        <v>2375</v>
      </c>
      <c r="G274" t="s">
        <v>28</v>
      </c>
      <c r="H274" t="s">
        <v>28</v>
      </c>
      <c r="I274" t="s">
        <v>970</v>
      </c>
    </row>
    <row r="275" spans="1:9" ht="11.25" customHeight="1" x14ac:dyDescent="0.15">
      <c r="A275" t="s">
        <v>2368</v>
      </c>
      <c r="B275" t="s">
        <v>16</v>
      </c>
      <c r="C275" t="s">
        <v>3040</v>
      </c>
      <c r="D275" t="s">
        <v>3041</v>
      </c>
      <c r="E275" t="s">
        <v>3042</v>
      </c>
      <c r="F275" t="s">
        <v>2696</v>
      </c>
      <c r="G275" t="s">
        <v>28</v>
      </c>
      <c r="H275" t="s">
        <v>28</v>
      </c>
      <c r="I275" t="s">
        <v>970</v>
      </c>
    </row>
    <row r="276" spans="1:9" ht="11.25" customHeight="1" x14ac:dyDescent="0.15">
      <c r="A276" t="s">
        <v>2368</v>
      </c>
      <c r="B276" t="s">
        <v>16</v>
      </c>
      <c r="C276" t="s">
        <v>3043</v>
      </c>
      <c r="D276" t="s">
        <v>3044</v>
      </c>
      <c r="E276" t="s">
        <v>3045</v>
      </c>
      <c r="F276" t="s">
        <v>2478</v>
      </c>
      <c r="G276" t="s">
        <v>28</v>
      </c>
      <c r="H276" t="s">
        <v>28</v>
      </c>
      <c r="I276" t="s">
        <v>970</v>
      </c>
    </row>
    <row r="277" spans="1:9" ht="11.25" customHeight="1" x14ac:dyDescent="0.15">
      <c r="A277" t="s">
        <v>2368</v>
      </c>
      <c r="B277" t="s">
        <v>16</v>
      </c>
      <c r="C277" t="s">
        <v>3046</v>
      </c>
      <c r="D277" t="s">
        <v>3047</v>
      </c>
      <c r="E277" t="s">
        <v>3048</v>
      </c>
      <c r="F277" t="s">
        <v>2371</v>
      </c>
      <c r="G277" t="s">
        <v>28</v>
      </c>
      <c r="H277" t="s">
        <v>28</v>
      </c>
      <c r="I277" t="s">
        <v>970</v>
      </c>
    </row>
    <row r="278" spans="1:9" ht="11.25" customHeight="1" x14ac:dyDescent="0.15">
      <c r="A278" t="s">
        <v>2368</v>
      </c>
      <c r="B278" t="s">
        <v>16</v>
      </c>
      <c r="C278" t="s">
        <v>3049</v>
      </c>
      <c r="D278" t="s">
        <v>3050</v>
      </c>
      <c r="E278" t="s">
        <v>3051</v>
      </c>
      <c r="F278" t="s">
        <v>2433</v>
      </c>
      <c r="G278" t="s">
        <v>28</v>
      </c>
      <c r="H278" t="s">
        <v>28</v>
      </c>
      <c r="I278" t="s">
        <v>970</v>
      </c>
    </row>
    <row r="279" spans="1:9" ht="11.25" customHeight="1" x14ac:dyDescent="0.15">
      <c r="A279" t="s">
        <v>2368</v>
      </c>
      <c r="B279" t="s">
        <v>16</v>
      </c>
      <c r="C279" t="s">
        <v>3052</v>
      </c>
      <c r="D279" t="s">
        <v>3053</v>
      </c>
      <c r="E279" t="s">
        <v>3054</v>
      </c>
      <c r="F279" t="s">
        <v>2424</v>
      </c>
      <c r="G279" t="s">
        <v>3055</v>
      </c>
      <c r="H279" t="s">
        <v>28</v>
      </c>
      <c r="I279" t="s">
        <v>970</v>
      </c>
    </row>
    <row r="280" spans="1:9" ht="11.25" customHeight="1" x14ac:dyDescent="0.15">
      <c r="A280" t="s">
        <v>2368</v>
      </c>
      <c r="B280" t="s">
        <v>16</v>
      </c>
      <c r="C280" t="s">
        <v>3056</v>
      </c>
      <c r="D280" t="s">
        <v>3057</v>
      </c>
      <c r="E280" t="s">
        <v>2370</v>
      </c>
      <c r="F280" t="s">
        <v>2371</v>
      </c>
      <c r="G280" t="s">
        <v>28</v>
      </c>
      <c r="H280" t="s">
        <v>28</v>
      </c>
      <c r="I280" t="s">
        <v>970</v>
      </c>
    </row>
    <row r="281" spans="1:9" ht="11.25" customHeight="1" x14ac:dyDescent="0.15">
      <c r="A281" t="s">
        <v>2368</v>
      </c>
      <c r="B281" t="s">
        <v>16</v>
      </c>
      <c r="C281" t="s">
        <v>3058</v>
      </c>
      <c r="D281" t="s">
        <v>3059</v>
      </c>
      <c r="E281" t="s">
        <v>3060</v>
      </c>
      <c r="F281" t="s">
        <v>2375</v>
      </c>
      <c r="G281" t="s">
        <v>28</v>
      </c>
      <c r="H281" t="s">
        <v>28</v>
      </c>
      <c r="I281" t="s">
        <v>970</v>
      </c>
    </row>
    <row r="282" spans="1:9" ht="11.25" customHeight="1" x14ac:dyDescent="0.15">
      <c r="A282" t="s">
        <v>2368</v>
      </c>
      <c r="B282" t="s">
        <v>16</v>
      </c>
      <c r="C282" t="s">
        <v>3061</v>
      </c>
      <c r="D282" t="s">
        <v>3062</v>
      </c>
      <c r="E282" t="s">
        <v>3063</v>
      </c>
      <c r="F282" t="s">
        <v>2375</v>
      </c>
      <c r="G282" t="s">
        <v>28</v>
      </c>
      <c r="H282" t="s">
        <v>28</v>
      </c>
      <c r="I282" t="s">
        <v>970</v>
      </c>
    </row>
    <row r="283" spans="1:9" ht="11.25" customHeight="1" x14ac:dyDescent="0.15">
      <c r="A283" t="s">
        <v>2368</v>
      </c>
      <c r="B283" t="s">
        <v>16</v>
      </c>
      <c r="C283" t="s">
        <v>2714</v>
      </c>
      <c r="D283" t="s">
        <v>2715</v>
      </c>
      <c r="E283" t="s">
        <v>2716</v>
      </c>
      <c r="F283" t="s">
        <v>2383</v>
      </c>
      <c r="G283" t="s">
        <v>28</v>
      </c>
      <c r="H283" t="s">
        <v>28</v>
      </c>
      <c r="I283" t="s">
        <v>970</v>
      </c>
    </row>
    <row r="284" spans="1:9" ht="11.25" customHeight="1" x14ac:dyDescent="0.15">
      <c r="A284" t="s">
        <v>2368</v>
      </c>
      <c r="B284" t="s">
        <v>16</v>
      </c>
      <c r="C284" t="s">
        <v>2725</v>
      </c>
      <c r="D284" t="s">
        <v>2726</v>
      </c>
      <c r="E284" t="s">
        <v>2727</v>
      </c>
      <c r="F284" t="s">
        <v>2696</v>
      </c>
      <c r="G284" t="s">
        <v>2728</v>
      </c>
      <c r="H284" t="s">
        <v>28</v>
      </c>
      <c r="I284" t="s">
        <v>970</v>
      </c>
    </row>
    <row r="285" spans="1:9" ht="11.25" customHeight="1" x14ac:dyDescent="0.15">
      <c r="A285" t="s">
        <v>2368</v>
      </c>
      <c r="B285" t="s">
        <v>16</v>
      </c>
      <c r="C285" t="s">
        <v>2729</v>
      </c>
      <c r="D285" t="s">
        <v>2730</v>
      </c>
      <c r="E285" t="s">
        <v>2731</v>
      </c>
      <c r="F285" t="s">
        <v>2424</v>
      </c>
      <c r="G285" t="s">
        <v>2732</v>
      </c>
      <c r="H285" t="s">
        <v>28</v>
      </c>
      <c r="I285" t="s">
        <v>970</v>
      </c>
    </row>
    <row r="286" spans="1:9" ht="11.25" customHeight="1" x14ac:dyDescent="0.15">
      <c r="A286" t="s">
        <v>2368</v>
      </c>
      <c r="B286" t="s">
        <v>16</v>
      </c>
      <c r="C286" t="s">
        <v>3064</v>
      </c>
      <c r="D286" t="s">
        <v>3065</v>
      </c>
      <c r="E286" t="s">
        <v>3066</v>
      </c>
      <c r="F286" t="s">
        <v>2478</v>
      </c>
      <c r="G286" t="s">
        <v>28</v>
      </c>
      <c r="H286" t="s">
        <v>28</v>
      </c>
      <c r="I286" t="s">
        <v>970</v>
      </c>
    </row>
    <row r="287" spans="1:9" ht="11.25" customHeight="1" x14ac:dyDescent="0.15">
      <c r="A287" t="s">
        <v>2368</v>
      </c>
      <c r="B287" t="s">
        <v>16</v>
      </c>
      <c r="C287" t="s">
        <v>3067</v>
      </c>
      <c r="D287" t="s">
        <v>3068</v>
      </c>
      <c r="E287" t="s">
        <v>3069</v>
      </c>
      <c r="F287" t="s">
        <v>2601</v>
      </c>
      <c r="G287" t="s">
        <v>28</v>
      </c>
      <c r="H287" t="s">
        <v>28</v>
      </c>
      <c r="I287" t="s">
        <v>970</v>
      </c>
    </row>
    <row r="288" spans="1:9" ht="11.25" customHeight="1" x14ac:dyDescent="0.15">
      <c r="A288" t="s">
        <v>2368</v>
      </c>
      <c r="B288" t="s">
        <v>16</v>
      </c>
      <c r="C288" t="s">
        <v>3070</v>
      </c>
      <c r="D288" t="s">
        <v>3071</v>
      </c>
      <c r="E288" t="s">
        <v>3072</v>
      </c>
      <c r="F288" t="s">
        <v>3073</v>
      </c>
      <c r="G288" t="s">
        <v>28</v>
      </c>
      <c r="H288" t="s">
        <v>28</v>
      </c>
      <c r="I288" t="s">
        <v>970</v>
      </c>
    </row>
    <row r="289" spans="1:9" ht="11.25" customHeight="1" x14ac:dyDescent="0.15">
      <c r="A289" t="s">
        <v>2368</v>
      </c>
      <c r="B289" t="s">
        <v>16</v>
      </c>
      <c r="C289" t="s">
        <v>3074</v>
      </c>
      <c r="D289" t="s">
        <v>3075</v>
      </c>
      <c r="E289" t="s">
        <v>3076</v>
      </c>
      <c r="F289" t="s">
        <v>2507</v>
      </c>
      <c r="G289" t="s">
        <v>28</v>
      </c>
      <c r="H289" t="s">
        <v>28</v>
      </c>
      <c r="I289" t="s">
        <v>970</v>
      </c>
    </row>
    <row r="290" spans="1:9" ht="11.25" customHeight="1" x14ac:dyDescent="0.15">
      <c r="A290" t="s">
        <v>2368</v>
      </c>
      <c r="B290" t="s">
        <v>16</v>
      </c>
      <c r="C290" t="s">
        <v>2743</v>
      </c>
      <c r="D290" t="s">
        <v>2744</v>
      </c>
      <c r="E290" t="s">
        <v>2745</v>
      </c>
      <c r="F290" t="s">
        <v>2572</v>
      </c>
      <c r="G290" t="s">
        <v>28</v>
      </c>
      <c r="H290" t="s">
        <v>28</v>
      </c>
      <c r="I290" t="s">
        <v>970</v>
      </c>
    </row>
    <row r="291" spans="1:9" ht="11.25" customHeight="1" x14ac:dyDescent="0.15">
      <c r="A291" t="s">
        <v>2368</v>
      </c>
      <c r="B291" t="s">
        <v>16</v>
      </c>
      <c r="C291" t="s">
        <v>2746</v>
      </c>
      <c r="D291" t="s">
        <v>2747</v>
      </c>
      <c r="E291" t="s">
        <v>2748</v>
      </c>
      <c r="F291" t="s">
        <v>2749</v>
      </c>
      <c r="G291" t="s">
        <v>2750</v>
      </c>
      <c r="H291" t="s">
        <v>28</v>
      </c>
      <c r="I291" t="s">
        <v>970</v>
      </c>
    </row>
    <row r="292" spans="1:9" ht="11.25" customHeight="1" x14ac:dyDescent="0.15">
      <c r="A292" t="s">
        <v>2368</v>
      </c>
      <c r="B292" t="s">
        <v>16</v>
      </c>
      <c r="C292" t="s">
        <v>2751</v>
      </c>
      <c r="D292" t="s">
        <v>2752</v>
      </c>
      <c r="E292" t="s">
        <v>2753</v>
      </c>
      <c r="F292" t="s">
        <v>2572</v>
      </c>
      <c r="G292" t="s">
        <v>28</v>
      </c>
      <c r="H292" t="s">
        <v>28</v>
      </c>
      <c r="I292" t="s">
        <v>970</v>
      </c>
    </row>
    <row r="293" spans="1:9" ht="11.25" customHeight="1" x14ac:dyDescent="0.15">
      <c r="A293" t="s">
        <v>2368</v>
      </c>
      <c r="B293" t="s">
        <v>16</v>
      </c>
      <c r="C293" t="s">
        <v>2757</v>
      </c>
      <c r="D293" t="s">
        <v>2758</v>
      </c>
      <c r="E293" t="s">
        <v>2759</v>
      </c>
      <c r="F293" t="s">
        <v>2507</v>
      </c>
      <c r="G293" t="s">
        <v>28</v>
      </c>
      <c r="H293" t="s">
        <v>28</v>
      </c>
      <c r="I293" t="s">
        <v>970</v>
      </c>
    </row>
    <row r="294" spans="1:9" ht="11.25" customHeight="1" x14ac:dyDescent="0.15">
      <c r="A294" t="s">
        <v>2368</v>
      </c>
      <c r="B294" t="s">
        <v>16</v>
      </c>
      <c r="C294" t="s">
        <v>3077</v>
      </c>
      <c r="D294" t="s">
        <v>3078</v>
      </c>
      <c r="E294" t="s">
        <v>3079</v>
      </c>
      <c r="F294" t="s">
        <v>2889</v>
      </c>
      <c r="G294" t="s">
        <v>28</v>
      </c>
      <c r="H294" t="s">
        <v>28</v>
      </c>
      <c r="I294" t="s">
        <v>970</v>
      </c>
    </row>
    <row r="295" spans="1:9" ht="11.25" customHeight="1" x14ac:dyDescent="0.15">
      <c r="A295" t="s">
        <v>2368</v>
      </c>
      <c r="B295" t="s">
        <v>16</v>
      </c>
      <c r="C295" t="s">
        <v>3080</v>
      </c>
      <c r="D295" t="s">
        <v>3081</v>
      </c>
      <c r="E295" t="s">
        <v>3082</v>
      </c>
      <c r="F295" t="s">
        <v>2889</v>
      </c>
      <c r="G295" t="s">
        <v>28</v>
      </c>
      <c r="H295" t="s">
        <v>28</v>
      </c>
      <c r="I295" t="s">
        <v>970</v>
      </c>
    </row>
    <row r="296" spans="1:9" ht="11.25" customHeight="1" x14ac:dyDescent="0.15">
      <c r="A296" t="s">
        <v>2368</v>
      </c>
      <c r="B296" t="s">
        <v>16</v>
      </c>
      <c r="C296" t="s">
        <v>3083</v>
      </c>
      <c r="D296" t="s">
        <v>3084</v>
      </c>
      <c r="E296" t="s">
        <v>3085</v>
      </c>
      <c r="F296" t="s">
        <v>2400</v>
      </c>
      <c r="G296" t="s">
        <v>28</v>
      </c>
      <c r="H296" t="s">
        <v>28</v>
      </c>
      <c r="I296" t="s">
        <v>970</v>
      </c>
    </row>
    <row r="297" spans="1:9" ht="11.25" customHeight="1" x14ac:dyDescent="0.15">
      <c r="A297" t="s">
        <v>2368</v>
      </c>
      <c r="B297" t="s">
        <v>16</v>
      </c>
      <c r="C297" t="s">
        <v>3086</v>
      </c>
      <c r="D297" t="s">
        <v>3087</v>
      </c>
      <c r="E297" t="s">
        <v>3088</v>
      </c>
      <c r="F297" t="s">
        <v>2766</v>
      </c>
      <c r="G297" t="s">
        <v>28</v>
      </c>
      <c r="H297" t="s">
        <v>28</v>
      </c>
      <c r="I297" t="s">
        <v>970</v>
      </c>
    </row>
    <row r="298" spans="1:9" ht="11.25" customHeight="1" x14ac:dyDescent="0.15">
      <c r="A298" t="s">
        <v>2368</v>
      </c>
      <c r="B298" t="s">
        <v>16</v>
      </c>
      <c r="C298" t="s">
        <v>3089</v>
      </c>
      <c r="D298" t="s">
        <v>3090</v>
      </c>
      <c r="E298" t="s">
        <v>3091</v>
      </c>
      <c r="F298" t="s">
        <v>2558</v>
      </c>
      <c r="G298" t="s">
        <v>28</v>
      </c>
      <c r="H298" t="s">
        <v>28</v>
      </c>
      <c r="I298" t="s">
        <v>970</v>
      </c>
    </row>
    <row r="299" spans="1:9" ht="11.25" customHeight="1" x14ac:dyDescent="0.15">
      <c r="A299" t="s">
        <v>2368</v>
      </c>
      <c r="B299" t="s">
        <v>16</v>
      </c>
      <c r="C299" t="s">
        <v>2763</v>
      </c>
      <c r="D299" t="s">
        <v>2764</v>
      </c>
      <c r="E299" t="s">
        <v>2765</v>
      </c>
      <c r="F299" t="s">
        <v>2766</v>
      </c>
      <c r="G299" t="s">
        <v>28</v>
      </c>
      <c r="H299" t="s">
        <v>28</v>
      </c>
      <c r="I299" t="s">
        <v>970</v>
      </c>
    </row>
    <row r="300" spans="1:9" ht="11.25" customHeight="1" x14ac:dyDescent="0.15">
      <c r="A300" t="s">
        <v>2368</v>
      </c>
      <c r="B300" t="s">
        <v>16</v>
      </c>
      <c r="C300" t="s">
        <v>3092</v>
      </c>
      <c r="D300" t="s">
        <v>3093</v>
      </c>
      <c r="E300" t="s">
        <v>3094</v>
      </c>
      <c r="F300" t="s">
        <v>2507</v>
      </c>
      <c r="G300" t="s">
        <v>28</v>
      </c>
      <c r="H300" t="s">
        <v>28</v>
      </c>
      <c r="I300" t="s">
        <v>970</v>
      </c>
    </row>
    <row r="301" spans="1:9" ht="11.25" customHeight="1" x14ac:dyDescent="0.15">
      <c r="A301" t="s">
        <v>2368</v>
      </c>
      <c r="B301" t="s">
        <v>16</v>
      </c>
      <c r="C301" t="s">
        <v>3095</v>
      </c>
      <c r="D301" t="s">
        <v>3096</v>
      </c>
      <c r="E301" t="s">
        <v>3097</v>
      </c>
      <c r="F301" t="s">
        <v>2949</v>
      </c>
      <c r="G301" t="s">
        <v>3098</v>
      </c>
      <c r="H301" t="s">
        <v>28</v>
      </c>
      <c r="I301" t="s">
        <v>970</v>
      </c>
    </row>
    <row r="302" spans="1:9" ht="11.25" customHeight="1" x14ac:dyDescent="0.15">
      <c r="A302" t="s">
        <v>2368</v>
      </c>
      <c r="B302" t="s">
        <v>16</v>
      </c>
      <c r="C302" t="s">
        <v>3099</v>
      </c>
      <c r="D302" t="s">
        <v>3100</v>
      </c>
      <c r="E302" t="s">
        <v>3101</v>
      </c>
      <c r="F302" t="s">
        <v>2478</v>
      </c>
      <c r="G302" t="s">
        <v>28</v>
      </c>
      <c r="H302" t="s">
        <v>28</v>
      </c>
      <c r="I302" t="s">
        <v>970</v>
      </c>
    </row>
    <row r="303" spans="1:9" ht="11.25" customHeight="1" x14ac:dyDescent="0.15">
      <c r="A303" t="s">
        <v>2368</v>
      </c>
      <c r="B303" t="s">
        <v>16</v>
      </c>
      <c r="C303" t="s">
        <v>3102</v>
      </c>
      <c r="D303" t="s">
        <v>3103</v>
      </c>
      <c r="E303" t="s">
        <v>3104</v>
      </c>
      <c r="F303" t="s">
        <v>2499</v>
      </c>
      <c r="G303" t="s">
        <v>28</v>
      </c>
      <c r="H303" t="s">
        <v>28</v>
      </c>
      <c r="I303" t="s">
        <v>970</v>
      </c>
    </row>
    <row r="304" spans="1:9" ht="11.25" customHeight="1" x14ac:dyDescent="0.15">
      <c r="A304" t="s">
        <v>2368</v>
      </c>
      <c r="B304" t="s">
        <v>16</v>
      </c>
      <c r="C304" t="s">
        <v>3105</v>
      </c>
      <c r="D304" t="s">
        <v>3106</v>
      </c>
      <c r="E304" t="s">
        <v>3107</v>
      </c>
      <c r="F304" t="s">
        <v>2375</v>
      </c>
      <c r="G304" t="s">
        <v>28</v>
      </c>
      <c r="H304" t="s">
        <v>28</v>
      </c>
      <c r="I304" t="s">
        <v>970</v>
      </c>
    </row>
    <row r="305" spans="1:9" ht="11.25" customHeight="1" x14ac:dyDescent="0.15">
      <c r="A305" t="s">
        <v>2368</v>
      </c>
      <c r="B305" t="s">
        <v>16</v>
      </c>
      <c r="C305" t="s">
        <v>3108</v>
      </c>
      <c r="D305" t="s">
        <v>3109</v>
      </c>
      <c r="E305" t="s">
        <v>3110</v>
      </c>
      <c r="F305" t="s">
        <v>2531</v>
      </c>
      <c r="G305" t="s">
        <v>28</v>
      </c>
      <c r="H305" t="s">
        <v>28</v>
      </c>
      <c r="I305" t="s">
        <v>970</v>
      </c>
    </row>
    <row r="306" spans="1:9" ht="11.25" customHeight="1" x14ac:dyDescent="0.15">
      <c r="A306" t="s">
        <v>2368</v>
      </c>
      <c r="B306" t="s">
        <v>16</v>
      </c>
      <c r="C306" t="s">
        <v>3111</v>
      </c>
      <c r="D306" t="s">
        <v>3112</v>
      </c>
      <c r="E306" t="s">
        <v>3113</v>
      </c>
      <c r="F306" t="s">
        <v>2889</v>
      </c>
      <c r="G306" t="s">
        <v>3114</v>
      </c>
      <c r="H306" t="s">
        <v>28</v>
      </c>
      <c r="I306" t="s">
        <v>970</v>
      </c>
    </row>
    <row r="307" spans="1:9" ht="11.25" customHeight="1" x14ac:dyDescent="0.15">
      <c r="A307" t="s">
        <v>2368</v>
      </c>
      <c r="B307" t="s">
        <v>16</v>
      </c>
      <c r="C307" t="s">
        <v>3115</v>
      </c>
      <c r="D307" t="s">
        <v>3116</v>
      </c>
      <c r="E307" t="s">
        <v>3117</v>
      </c>
      <c r="F307" t="s">
        <v>2433</v>
      </c>
      <c r="G307" t="s">
        <v>28</v>
      </c>
      <c r="H307" t="s">
        <v>28</v>
      </c>
      <c r="I307" t="s">
        <v>970</v>
      </c>
    </row>
    <row r="308" spans="1:9" ht="11.25" customHeight="1" x14ac:dyDescent="0.15">
      <c r="A308" t="s">
        <v>2368</v>
      </c>
      <c r="B308" t="s">
        <v>16</v>
      </c>
      <c r="C308" t="s">
        <v>2793</v>
      </c>
      <c r="D308" t="s">
        <v>2794</v>
      </c>
      <c r="E308" t="s">
        <v>2795</v>
      </c>
      <c r="F308" t="s">
        <v>2400</v>
      </c>
      <c r="G308" t="s">
        <v>28</v>
      </c>
      <c r="H308" t="s">
        <v>28</v>
      </c>
      <c r="I308" t="s">
        <v>970</v>
      </c>
    </row>
    <row r="309" spans="1:9" ht="11.25" customHeight="1" x14ac:dyDescent="0.15">
      <c r="A309" t="s">
        <v>2368</v>
      </c>
      <c r="B309" t="s">
        <v>16</v>
      </c>
      <c r="C309" t="s">
        <v>28</v>
      </c>
      <c r="D309" t="s">
        <v>2369</v>
      </c>
      <c r="E309" t="s">
        <v>2370</v>
      </c>
      <c r="F309" t="s">
        <v>2371</v>
      </c>
      <c r="G309" t="s">
        <v>28</v>
      </c>
      <c r="H309" t="s">
        <v>28</v>
      </c>
      <c r="I309" t="s">
        <v>1023</v>
      </c>
    </row>
    <row r="310" spans="1:9" ht="11.25" customHeight="1" x14ac:dyDescent="0.15">
      <c r="A310" t="s">
        <v>2368</v>
      </c>
      <c r="B310" t="s">
        <v>16</v>
      </c>
      <c r="C310" t="s">
        <v>2372</v>
      </c>
      <c r="D310" t="s">
        <v>2373</v>
      </c>
      <c r="E310" t="s">
        <v>2374</v>
      </c>
      <c r="F310" t="s">
        <v>2375</v>
      </c>
      <c r="G310" t="s">
        <v>28</v>
      </c>
      <c r="H310" t="s">
        <v>28</v>
      </c>
      <c r="I310" t="s">
        <v>1023</v>
      </c>
    </row>
    <row r="311" spans="1:9" ht="11.25" customHeight="1" x14ac:dyDescent="0.15">
      <c r="A311" t="s">
        <v>2368</v>
      </c>
      <c r="B311" t="s">
        <v>16</v>
      </c>
      <c r="C311" t="s">
        <v>2380</v>
      </c>
      <c r="D311" t="s">
        <v>2381</v>
      </c>
      <c r="E311" t="s">
        <v>2382</v>
      </c>
      <c r="F311" t="s">
        <v>2383</v>
      </c>
      <c r="G311" t="s">
        <v>28</v>
      </c>
      <c r="H311" t="s">
        <v>28</v>
      </c>
      <c r="I311" t="s">
        <v>1023</v>
      </c>
    </row>
    <row r="312" spans="1:9" ht="11.25" customHeight="1" x14ac:dyDescent="0.15">
      <c r="A312" t="s">
        <v>2368</v>
      </c>
      <c r="B312" t="s">
        <v>16</v>
      </c>
      <c r="C312" t="s">
        <v>2388</v>
      </c>
      <c r="D312" t="s">
        <v>2385</v>
      </c>
      <c r="E312" t="s">
        <v>2386</v>
      </c>
      <c r="F312" t="s">
        <v>2389</v>
      </c>
      <c r="G312" t="s">
        <v>2390</v>
      </c>
      <c r="H312" t="s">
        <v>28</v>
      </c>
      <c r="I312" t="s">
        <v>1023</v>
      </c>
    </row>
    <row r="313" spans="1:9" ht="11.25" customHeight="1" x14ac:dyDescent="0.15">
      <c r="A313" t="s">
        <v>2368</v>
      </c>
      <c r="B313" t="s">
        <v>16</v>
      </c>
      <c r="C313" t="s">
        <v>2397</v>
      </c>
      <c r="D313" t="s">
        <v>2398</v>
      </c>
      <c r="E313" t="s">
        <v>2399</v>
      </c>
      <c r="F313" t="s">
        <v>2400</v>
      </c>
      <c r="G313" t="s">
        <v>28</v>
      </c>
      <c r="H313" t="s">
        <v>28</v>
      </c>
      <c r="I313" t="s">
        <v>1023</v>
      </c>
    </row>
    <row r="314" spans="1:9" ht="11.25" customHeight="1" x14ac:dyDescent="0.15">
      <c r="A314" t="s">
        <v>2368</v>
      </c>
      <c r="B314" t="s">
        <v>16</v>
      </c>
      <c r="C314" t="s">
        <v>2409</v>
      </c>
      <c r="D314" t="s">
        <v>2410</v>
      </c>
      <c r="E314" t="s">
        <v>2411</v>
      </c>
      <c r="F314" t="s">
        <v>2412</v>
      </c>
      <c r="G314" t="s">
        <v>28</v>
      </c>
      <c r="H314" t="s">
        <v>28</v>
      </c>
      <c r="I314" t="s">
        <v>1023</v>
      </c>
    </row>
    <row r="315" spans="1:9" ht="11.25" customHeight="1" x14ac:dyDescent="0.15">
      <c r="A315" t="s">
        <v>2368</v>
      </c>
      <c r="B315" t="s">
        <v>16</v>
      </c>
      <c r="C315" t="s">
        <v>2818</v>
      </c>
      <c r="D315" t="s">
        <v>2819</v>
      </c>
      <c r="E315" t="s">
        <v>2820</v>
      </c>
      <c r="F315" t="s">
        <v>2614</v>
      </c>
      <c r="G315" t="s">
        <v>2821</v>
      </c>
      <c r="H315" t="s">
        <v>28</v>
      </c>
      <c r="I315" t="s">
        <v>1023</v>
      </c>
    </row>
    <row r="316" spans="1:9" ht="11.25" customHeight="1" x14ac:dyDescent="0.15">
      <c r="A316" t="s">
        <v>2368</v>
      </c>
      <c r="B316" t="s">
        <v>16</v>
      </c>
      <c r="C316" t="s">
        <v>3118</v>
      </c>
      <c r="D316" t="s">
        <v>3119</v>
      </c>
      <c r="E316" t="s">
        <v>3120</v>
      </c>
      <c r="F316" t="s">
        <v>2371</v>
      </c>
      <c r="G316" t="s">
        <v>28</v>
      </c>
      <c r="H316" t="s">
        <v>28</v>
      </c>
      <c r="I316" t="s">
        <v>1023</v>
      </c>
    </row>
    <row r="317" spans="1:9" ht="11.25" customHeight="1" x14ac:dyDescent="0.15">
      <c r="A317" t="s">
        <v>2368</v>
      </c>
      <c r="B317" t="s">
        <v>16</v>
      </c>
      <c r="C317" t="s">
        <v>2418</v>
      </c>
      <c r="D317" t="s">
        <v>2419</v>
      </c>
      <c r="E317" t="s">
        <v>2420</v>
      </c>
      <c r="F317" t="s">
        <v>2379</v>
      </c>
      <c r="G317" t="s">
        <v>28</v>
      </c>
      <c r="H317" t="s">
        <v>28</v>
      </c>
      <c r="I317" t="s">
        <v>1023</v>
      </c>
    </row>
    <row r="318" spans="1:9" ht="11.25" customHeight="1" x14ac:dyDescent="0.15">
      <c r="A318" t="s">
        <v>2368</v>
      </c>
      <c r="B318" t="s">
        <v>16</v>
      </c>
      <c r="C318" t="s">
        <v>2421</v>
      </c>
      <c r="D318" t="s">
        <v>2422</v>
      </c>
      <c r="E318" t="s">
        <v>2423</v>
      </c>
      <c r="F318" t="s">
        <v>2424</v>
      </c>
      <c r="G318" t="s">
        <v>28</v>
      </c>
      <c r="H318" t="s">
        <v>28</v>
      </c>
      <c r="I318" t="s">
        <v>1023</v>
      </c>
    </row>
    <row r="319" spans="1:9" ht="11.25" customHeight="1" x14ac:dyDescent="0.15">
      <c r="A319" t="s">
        <v>2368</v>
      </c>
      <c r="B319" t="s">
        <v>16</v>
      </c>
      <c r="C319" t="s">
        <v>2822</v>
      </c>
      <c r="D319" t="s">
        <v>2823</v>
      </c>
      <c r="E319" t="s">
        <v>2824</v>
      </c>
      <c r="F319" t="s">
        <v>2400</v>
      </c>
      <c r="G319" t="s">
        <v>2825</v>
      </c>
      <c r="H319" t="s">
        <v>28</v>
      </c>
      <c r="I319" t="s">
        <v>1023</v>
      </c>
    </row>
    <row r="320" spans="1:9" ht="11.25" customHeight="1" x14ac:dyDescent="0.15">
      <c r="A320" t="s">
        <v>2368</v>
      </c>
      <c r="B320" t="s">
        <v>16</v>
      </c>
      <c r="C320" t="s">
        <v>2826</v>
      </c>
      <c r="D320" t="s">
        <v>2827</v>
      </c>
      <c r="E320" t="s">
        <v>2828</v>
      </c>
      <c r="F320" t="s">
        <v>2379</v>
      </c>
      <c r="G320" t="s">
        <v>28</v>
      </c>
      <c r="H320" t="s">
        <v>28</v>
      </c>
      <c r="I320" t="s">
        <v>1023</v>
      </c>
    </row>
    <row r="321" spans="1:9" ht="11.25" customHeight="1" x14ac:dyDescent="0.15">
      <c r="A321" t="s">
        <v>2368</v>
      </c>
      <c r="B321" t="s">
        <v>16</v>
      </c>
      <c r="C321" t="s">
        <v>2438</v>
      </c>
      <c r="D321" t="s">
        <v>2439</v>
      </c>
      <c r="E321" t="s">
        <v>2440</v>
      </c>
      <c r="F321" t="s">
        <v>2441</v>
      </c>
      <c r="G321" t="s">
        <v>28</v>
      </c>
      <c r="H321" t="s">
        <v>28</v>
      </c>
      <c r="I321" t="s">
        <v>1023</v>
      </c>
    </row>
    <row r="322" spans="1:9" ht="11.25" customHeight="1" x14ac:dyDescent="0.15">
      <c r="A322" t="s">
        <v>2368</v>
      </c>
      <c r="B322" t="s">
        <v>16</v>
      </c>
      <c r="C322" t="s">
        <v>2829</v>
      </c>
      <c r="D322" t="s">
        <v>2830</v>
      </c>
      <c r="E322" t="s">
        <v>2831</v>
      </c>
      <c r="F322" t="s">
        <v>2792</v>
      </c>
      <c r="G322" t="s">
        <v>2832</v>
      </c>
      <c r="H322" t="s">
        <v>28</v>
      </c>
      <c r="I322" t="s">
        <v>1023</v>
      </c>
    </row>
    <row r="323" spans="1:9" ht="11.25" customHeight="1" x14ac:dyDescent="0.15">
      <c r="A323" t="s">
        <v>2368</v>
      </c>
      <c r="B323" t="s">
        <v>16</v>
      </c>
      <c r="C323" t="s">
        <v>2450</v>
      </c>
      <c r="D323" t="s">
        <v>2451</v>
      </c>
      <c r="E323" t="s">
        <v>2452</v>
      </c>
      <c r="F323" t="s">
        <v>2371</v>
      </c>
      <c r="G323" t="s">
        <v>2453</v>
      </c>
      <c r="H323" t="s">
        <v>28</v>
      </c>
      <c r="I323" t="s">
        <v>1023</v>
      </c>
    </row>
    <row r="324" spans="1:9" ht="11.25" customHeight="1" x14ac:dyDescent="0.15">
      <c r="A324" t="s">
        <v>2368</v>
      </c>
      <c r="B324" t="s">
        <v>16</v>
      </c>
      <c r="C324" t="s">
        <v>2833</v>
      </c>
      <c r="D324" t="s">
        <v>2834</v>
      </c>
      <c r="E324" t="s">
        <v>2835</v>
      </c>
      <c r="F324" t="s">
        <v>2836</v>
      </c>
      <c r="G324" t="s">
        <v>28</v>
      </c>
      <c r="H324" t="s">
        <v>28</v>
      </c>
      <c r="I324" t="s">
        <v>1023</v>
      </c>
    </row>
    <row r="325" spans="1:9" ht="11.25" customHeight="1" x14ac:dyDescent="0.15">
      <c r="A325" t="s">
        <v>2368</v>
      </c>
      <c r="B325" t="s">
        <v>16</v>
      </c>
      <c r="C325" t="s">
        <v>2472</v>
      </c>
      <c r="D325" t="s">
        <v>2473</v>
      </c>
      <c r="E325" t="s">
        <v>2470</v>
      </c>
      <c r="F325" t="s">
        <v>2474</v>
      </c>
      <c r="G325" t="s">
        <v>28</v>
      </c>
      <c r="H325" t="s">
        <v>28</v>
      </c>
      <c r="I325" t="s">
        <v>1023</v>
      </c>
    </row>
    <row r="326" spans="1:9" ht="11.25" customHeight="1" x14ac:dyDescent="0.15">
      <c r="A326" t="s">
        <v>2368</v>
      </c>
      <c r="B326" t="s">
        <v>16</v>
      </c>
      <c r="C326" t="s">
        <v>2837</v>
      </c>
      <c r="D326" t="s">
        <v>2838</v>
      </c>
      <c r="E326" t="s">
        <v>2839</v>
      </c>
      <c r="F326" t="s">
        <v>2507</v>
      </c>
      <c r="G326" t="s">
        <v>28</v>
      </c>
      <c r="H326" t="s">
        <v>28</v>
      </c>
      <c r="I326" t="s">
        <v>1023</v>
      </c>
    </row>
    <row r="327" spans="1:9" ht="11.25" customHeight="1" x14ac:dyDescent="0.15">
      <c r="A327" t="s">
        <v>2368</v>
      </c>
      <c r="B327" t="s">
        <v>16</v>
      </c>
      <c r="C327" t="s">
        <v>2843</v>
      </c>
      <c r="D327" t="s">
        <v>2844</v>
      </c>
      <c r="E327" t="s">
        <v>2845</v>
      </c>
      <c r="F327" t="s">
        <v>692</v>
      </c>
      <c r="G327" t="s">
        <v>28</v>
      </c>
      <c r="H327" t="s">
        <v>28</v>
      </c>
      <c r="I327" t="s">
        <v>1023</v>
      </c>
    </row>
    <row r="328" spans="1:9" ht="11.25" customHeight="1" x14ac:dyDescent="0.15">
      <c r="A328" t="s">
        <v>2368</v>
      </c>
      <c r="B328" t="s">
        <v>16</v>
      </c>
      <c r="C328" t="s">
        <v>2849</v>
      </c>
      <c r="D328" t="s">
        <v>49</v>
      </c>
      <c r="E328" t="s">
        <v>52</v>
      </c>
      <c r="F328" t="s">
        <v>2850</v>
      </c>
      <c r="G328" t="s">
        <v>28</v>
      </c>
      <c r="H328" t="s">
        <v>28</v>
      </c>
      <c r="I328" t="s">
        <v>1023</v>
      </c>
    </row>
    <row r="329" spans="1:9" ht="11.25" customHeight="1" x14ac:dyDescent="0.15">
      <c r="A329" t="s">
        <v>2368</v>
      </c>
      <c r="B329" t="s">
        <v>16</v>
      </c>
      <c r="C329" t="s">
        <v>2799</v>
      </c>
      <c r="D329" t="s">
        <v>49</v>
      </c>
      <c r="E329" t="s">
        <v>52</v>
      </c>
      <c r="F329" t="s">
        <v>2800</v>
      </c>
      <c r="G329" t="s">
        <v>28</v>
      </c>
      <c r="H329" t="s">
        <v>28</v>
      </c>
      <c r="I329" t="s">
        <v>1023</v>
      </c>
    </row>
    <row r="330" spans="1:9" ht="11.25" customHeight="1" x14ac:dyDescent="0.15">
      <c r="A330" t="s">
        <v>2368</v>
      </c>
      <c r="B330" t="s">
        <v>16</v>
      </c>
      <c r="C330" t="s">
        <v>2801</v>
      </c>
      <c r="D330" t="s">
        <v>49</v>
      </c>
      <c r="E330" t="s">
        <v>52</v>
      </c>
      <c r="F330" t="s">
        <v>2802</v>
      </c>
      <c r="G330" t="s">
        <v>28</v>
      </c>
      <c r="H330" t="s">
        <v>28</v>
      </c>
      <c r="I330" t="s">
        <v>1023</v>
      </c>
    </row>
    <row r="331" spans="1:9" ht="11.25" customHeight="1" x14ac:dyDescent="0.15">
      <c r="A331" t="s">
        <v>2368</v>
      </c>
      <c r="B331" t="s">
        <v>16</v>
      </c>
      <c r="C331" t="s">
        <v>2803</v>
      </c>
      <c r="D331" t="s">
        <v>49</v>
      </c>
      <c r="E331" t="s">
        <v>52</v>
      </c>
      <c r="F331" t="s">
        <v>2804</v>
      </c>
      <c r="G331" t="s">
        <v>28</v>
      </c>
      <c r="H331" t="s">
        <v>28</v>
      </c>
      <c r="I331" t="s">
        <v>1023</v>
      </c>
    </row>
    <row r="332" spans="1:9" ht="11.25" customHeight="1" x14ac:dyDescent="0.15">
      <c r="A332" t="s">
        <v>2368</v>
      </c>
      <c r="B332" t="s">
        <v>16</v>
      </c>
      <c r="C332" t="s">
        <v>2851</v>
      </c>
      <c r="D332" t="s">
        <v>49</v>
      </c>
      <c r="E332" t="s">
        <v>52</v>
      </c>
      <c r="F332" t="s">
        <v>2852</v>
      </c>
      <c r="G332" t="s">
        <v>28</v>
      </c>
      <c r="H332" t="s">
        <v>28</v>
      </c>
      <c r="I332" t="s">
        <v>1023</v>
      </c>
    </row>
    <row r="333" spans="1:9" ht="11.25" customHeight="1" x14ac:dyDescent="0.15">
      <c r="A333" t="s">
        <v>2368</v>
      </c>
      <c r="B333" t="s">
        <v>16</v>
      </c>
      <c r="C333" t="s">
        <v>2805</v>
      </c>
      <c r="D333" t="s">
        <v>49</v>
      </c>
      <c r="E333" t="s">
        <v>52</v>
      </c>
      <c r="F333" t="s">
        <v>2806</v>
      </c>
      <c r="G333" t="s">
        <v>28</v>
      </c>
      <c r="H333" t="s">
        <v>28</v>
      </c>
      <c r="I333" t="s">
        <v>1023</v>
      </c>
    </row>
    <row r="334" spans="1:9" ht="11.25" customHeight="1" x14ac:dyDescent="0.15">
      <c r="A334" t="s">
        <v>2368</v>
      </c>
      <c r="B334" t="s">
        <v>16</v>
      </c>
      <c r="C334" t="s">
        <v>2807</v>
      </c>
      <c r="D334" t="s">
        <v>49</v>
      </c>
      <c r="E334" t="s">
        <v>52</v>
      </c>
      <c r="F334" t="s">
        <v>2808</v>
      </c>
      <c r="G334" t="s">
        <v>28</v>
      </c>
      <c r="H334" t="s">
        <v>28</v>
      </c>
      <c r="I334" t="s">
        <v>1023</v>
      </c>
    </row>
    <row r="335" spans="1:9" ht="11.25" customHeight="1" x14ac:dyDescent="0.15">
      <c r="A335" t="s">
        <v>2368</v>
      </c>
      <c r="B335" t="s">
        <v>16</v>
      </c>
      <c r="C335" t="s">
        <v>2809</v>
      </c>
      <c r="D335" t="s">
        <v>49</v>
      </c>
      <c r="E335" t="s">
        <v>52</v>
      </c>
      <c r="F335" t="s">
        <v>2810</v>
      </c>
      <c r="G335" t="s">
        <v>28</v>
      </c>
      <c r="H335" t="s">
        <v>28</v>
      </c>
      <c r="I335" t="s">
        <v>1023</v>
      </c>
    </row>
    <row r="336" spans="1:9" ht="11.25" customHeight="1" x14ac:dyDescent="0.15">
      <c r="A336" t="s">
        <v>2368</v>
      </c>
      <c r="B336" t="s">
        <v>16</v>
      </c>
      <c r="C336" t="s">
        <v>2811</v>
      </c>
      <c r="D336" t="s">
        <v>49</v>
      </c>
      <c r="E336" t="s">
        <v>52</v>
      </c>
      <c r="F336" t="s">
        <v>2812</v>
      </c>
      <c r="G336" t="s">
        <v>28</v>
      </c>
      <c r="H336" t="s">
        <v>28</v>
      </c>
      <c r="I336" t="s">
        <v>1023</v>
      </c>
    </row>
    <row r="337" spans="1:9" ht="11.25" customHeight="1" x14ac:dyDescent="0.15">
      <c r="A337" t="s">
        <v>2368</v>
      </c>
      <c r="B337" t="s">
        <v>16</v>
      </c>
      <c r="C337" t="s">
        <v>2813</v>
      </c>
      <c r="D337" t="s">
        <v>49</v>
      </c>
      <c r="E337" t="s">
        <v>52</v>
      </c>
      <c r="F337" t="s">
        <v>2814</v>
      </c>
      <c r="G337" t="s">
        <v>28</v>
      </c>
      <c r="H337" t="s">
        <v>28</v>
      </c>
      <c r="I337" t="s">
        <v>1023</v>
      </c>
    </row>
    <row r="338" spans="1:9" ht="11.25" customHeight="1" x14ac:dyDescent="0.15">
      <c r="A338" t="s">
        <v>2368</v>
      </c>
      <c r="B338" t="s">
        <v>16</v>
      </c>
      <c r="C338" t="s">
        <v>13</v>
      </c>
      <c r="D338" t="s">
        <v>49</v>
      </c>
      <c r="E338" t="s">
        <v>52</v>
      </c>
      <c r="F338" t="s">
        <v>54</v>
      </c>
      <c r="G338" t="s">
        <v>28</v>
      </c>
      <c r="H338" t="s">
        <v>28</v>
      </c>
      <c r="I338" t="s">
        <v>1023</v>
      </c>
    </row>
    <row r="339" spans="1:9" ht="11.25" customHeight="1" x14ac:dyDescent="0.15">
      <c r="A339" t="s">
        <v>2368</v>
      </c>
      <c r="B339" t="s">
        <v>16</v>
      </c>
      <c r="C339" t="s">
        <v>2853</v>
      </c>
      <c r="D339" t="s">
        <v>2854</v>
      </c>
      <c r="E339" t="s">
        <v>2855</v>
      </c>
      <c r="F339" t="s">
        <v>2400</v>
      </c>
      <c r="G339" t="s">
        <v>28</v>
      </c>
      <c r="H339" t="s">
        <v>28</v>
      </c>
      <c r="I339" t="s">
        <v>1023</v>
      </c>
    </row>
    <row r="340" spans="1:9" ht="11.25" customHeight="1" x14ac:dyDescent="0.15">
      <c r="A340" t="s">
        <v>2368</v>
      </c>
      <c r="B340" t="s">
        <v>16</v>
      </c>
      <c r="C340" t="s">
        <v>2856</v>
      </c>
      <c r="D340" t="s">
        <v>2854</v>
      </c>
      <c r="E340" t="s">
        <v>2855</v>
      </c>
      <c r="F340" t="s">
        <v>2857</v>
      </c>
      <c r="G340" t="s">
        <v>28</v>
      </c>
      <c r="H340" t="s">
        <v>28</v>
      </c>
      <c r="I340" t="s">
        <v>1023</v>
      </c>
    </row>
    <row r="341" spans="1:9" ht="11.25" customHeight="1" x14ac:dyDescent="0.15">
      <c r="A341" t="s">
        <v>2368</v>
      </c>
      <c r="B341" t="s">
        <v>16</v>
      </c>
      <c r="C341" t="s">
        <v>2858</v>
      </c>
      <c r="D341" t="s">
        <v>2816</v>
      </c>
      <c r="E341" t="s">
        <v>52</v>
      </c>
      <c r="F341" t="s">
        <v>2859</v>
      </c>
      <c r="G341" t="s">
        <v>28</v>
      </c>
      <c r="H341" t="s">
        <v>28</v>
      </c>
      <c r="I341" t="s">
        <v>1023</v>
      </c>
    </row>
    <row r="342" spans="1:9" ht="11.25" customHeight="1" x14ac:dyDescent="0.15">
      <c r="A342" t="s">
        <v>2368</v>
      </c>
      <c r="B342" t="s">
        <v>16</v>
      </c>
      <c r="C342" t="s">
        <v>2815</v>
      </c>
      <c r="D342" t="s">
        <v>2816</v>
      </c>
      <c r="E342" t="s">
        <v>52</v>
      </c>
      <c r="F342" t="s">
        <v>2817</v>
      </c>
      <c r="G342" t="s">
        <v>28</v>
      </c>
      <c r="H342" t="s">
        <v>28</v>
      </c>
      <c r="I342" t="s">
        <v>1023</v>
      </c>
    </row>
    <row r="343" spans="1:9" ht="11.25" customHeight="1" x14ac:dyDescent="0.15">
      <c r="A343" t="s">
        <v>2368</v>
      </c>
      <c r="B343" t="s">
        <v>16</v>
      </c>
      <c r="C343" t="s">
        <v>3121</v>
      </c>
      <c r="D343" t="s">
        <v>3122</v>
      </c>
      <c r="E343" t="s">
        <v>3123</v>
      </c>
      <c r="F343" t="s">
        <v>2631</v>
      </c>
      <c r="G343" t="s">
        <v>3124</v>
      </c>
      <c r="H343" t="s">
        <v>28</v>
      </c>
      <c r="I343" t="s">
        <v>1023</v>
      </c>
    </row>
    <row r="344" spans="1:9" ht="11.25" customHeight="1" x14ac:dyDescent="0.15">
      <c r="A344" t="s">
        <v>2368</v>
      </c>
      <c r="B344" t="s">
        <v>16</v>
      </c>
      <c r="C344" t="s">
        <v>2863</v>
      </c>
      <c r="D344" t="s">
        <v>2864</v>
      </c>
      <c r="E344" t="s">
        <v>2865</v>
      </c>
      <c r="F344" t="s">
        <v>2601</v>
      </c>
      <c r="G344" t="s">
        <v>28</v>
      </c>
      <c r="H344" t="s">
        <v>28</v>
      </c>
      <c r="I344" t="s">
        <v>1023</v>
      </c>
    </row>
    <row r="345" spans="1:9" ht="11.25" customHeight="1" x14ac:dyDescent="0.15">
      <c r="A345" t="s">
        <v>2368</v>
      </c>
      <c r="B345" t="s">
        <v>16</v>
      </c>
      <c r="C345" t="s">
        <v>2866</v>
      </c>
      <c r="D345" t="s">
        <v>2867</v>
      </c>
      <c r="E345" t="s">
        <v>2868</v>
      </c>
      <c r="F345" t="s">
        <v>2710</v>
      </c>
      <c r="G345" t="s">
        <v>28</v>
      </c>
      <c r="H345" t="s">
        <v>28</v>
      </c>
      <c r="I345" t="s">
        <v>1023</v>
      </c>
    </row>
    <row r="346" spans="1:9" ht="11.25" customHeight="1" x14ac:dyDescent="0.15">
      <c r="A346" t="s">
        <v>2368</v>
      </c>
      <c r="B346" t="s">
        <v>16</v>
      </c>
      <c r="C346" t="s">
        <v>2869</v>
      </c>
      <c r="D346" t="s">
        <v>2870</v>
      </c>
      <c r="E346" t="s">
        <v>2871</v>
      </c>
      <c r="F346" t="s">
        <v>2433</v>
      </c>
      <c r="G346" t="s">
        <v>28</v>
      </c>
      <c r="H346" t="s">
        <v>28</v>
      </c>
      <c r="I346" t="s">
        <v>1023</v>
      </c>
    </row>
    <row r="347" spans="1:9" ht="11.25" customHeight="1" x14ac:dyDescent="0.15">
      <c r="A347" t="s">
        <v>2368</v>
      </c>
      <c r="B347" t="s">
        <v>16</v>
      </c>
      <c r="C347" t="s">
        <v>2872</v>
      </c>
      <c r="D347" t="s">
        <v>2873</v>
      </c>
      <c r="E347" t="s">
        <v>2874</v>
      </c>
      <c r="F347" t="s">
        <v>2524</v>
      </c>
      <c r="G347" t="s">
        <v>28</v>
      </c>
      <c r="H347" t="s">
        <v>28</v>
      </c>
      <c r="I347" t="s">
        <v>1023</v>
      </c>
    </row>
    <row r="348" spans="1:9" ht="11.25" customHeight="1" x14ac:dyDescent="0.15">
      <c r="A348" t="s">
        <v>2368</v>
      </c>
      <c r="B348" t="s">
        <v>16</v>
      </c>
      <c r="C348" t="s">
        <v>2879</v>
      </c>
      <c r="D348" t="s">
        <v>2880</v>
      </c>
      <c r="E348" t="s">
        <v>2881</v>
      </c>
      <c r="F348" t="s">
        <v>2433</v>
      </c>
      <c r="G348" t="s">
        <v>28</v>
      </c>
      <c r="H348" t="s">
        <v>28</v>
      </c>
      <c r="I348" t="s">
        <v>1023</v>
      </c>
    </row>
    <row r="349" spans="1:9" ht="11.25" customHeight="1" x14ac:dyDescent="0.15">
      <c r="A349" t="s">
        <v>2368</v>
      </c>
      <c r="B349" t="s">
        <v>16</v>
      </c>
      <c r="C349" t="s">
        <v>2521</v>
      </c>
      <c r="D349" t="s">
        <v>2522</v>
      </c>
      <c r="E349" t="s">
        <v>2523</v>
      </c>
      <c r="F349" t="s">
        <v>2524</v>
      </c>
      <c r="G349" t="s">
        <v>28</v>
      </c>
      <c r="H349" t="s">
        <v>28</v>
      </c>
      <c r="I349" t="s">
        <v>1023</v>
      </c>
    </row>
    <row r="350" spans="1:9" ht="11.25" customHeight="1" x14ac:dyDescent="0.15">
      <c r="A350" t="s">
        <v>2368</v>
      </c>
      <c r="B350" t="s">
        <v>16</v>
      </c>
      <c r="C350" t="s">
        <v>2882</v>
      </c>
      <c r="D350" t="s">
        <v>2883</v>
      </c>
      <c r="E350" t="s">
        <v>2884</v>
      </c>
      <c r="F350" t="s">
        <v>2541</v>
      </c>
      <c r="G350" t="s">
        <v>2885</v>
      </c>
      <c r="H350" t="s">
        <v>28</v>
      </c>
      <c r="I350" t="s">
        <v>1023</v>
      </c>
    </row>
    <row r="351" spans="1:9" ht="11.25" customHeight="1" x14ac:dyDescent="0.15">
      <c r="A351" t="s">
        <v>2368</v>
      </c>
      <c r="B351" t="s">
        <v>16</v>
      </c>
      <c r="C351" t="s">
        <v>2886</v>
      </c>
      <c r="D351" t="s">
        <v>2887</v>
      </c>
      <c r="E351" t="s">
        <v>2888</v>
      </c>
      <c r="F351" t="s">
        <v>2889</v>
      </c>
      <c r="G351" t="s">
        <v>28</v>
      </c>
      <c r="H351" t="s">
        <v>28</v>
      </c>
      <c r="I351" t="s">
        <v>1023</v>
      </c>
    </row>
    <row r="352" spans="1:9" ht="11.25" customHeight="1" x14ac:dyDescent="0.15">
      <c r="A352" t="s">
        <v>2368</v>
      </c>
      <c r="B352" t="s">
        <v>16</v>
      </c>
      <c r="C352" t="s">
        <v>2890</v>
      </c>
      <c r="D352" t="s">
        <v>2891</v>
      </c>
      <c r="E352" t="s">
        <v>2892</v>
      </c>
      <c r="F352" t="s">
        <v>2541</v>
      </c>
      <c r="G352" t="s">
        <v>28</v>
      </c>
      <c r="H352" t="s">
        <v>2893</v>
      </c>
      <c r="I352" t="s">
        <v>1023</v>
      </c>
    </row>
    <row r="353" spans="1:9" ht="11.25" customHeight="1" x14ac:dyDescent="0.15">
      <c r="A353" t="s">
        <v>2368</v>
      </c>
      <c r="B353" t="s">
        <v>16</v>
      </c>
      <c r="C353" t="s">
        <v>2894</v>
      </c>
      <c r="D353" t="s">
        <v>2895</v>
      </c>
      <c r="E353" t="s">
        <v>2896</v>
      </c>
      <c r="F353" t="s">
        <v>2412</v>
      </c>
      <c r="G353" t="s">
        <v>2897</v>
      </c>
      <c r="H353" t="s">
        <v>28</v>
      </c>
      <c r="I353" t="s">
        <v>1023</v>
      </c>
    </row>
    <row r="354" spans="1:9" ht="11.25" customHeight="1" x14ac:dyDescent="0.15">
      <c r="A354" t="s">
        <v>2368</v>
      </c>
      <c r="B354" t="s">
        <v>16</v>
      </c>
      <c r="C354" t="s">
        <v>2898</v>
      </c>
      <c r="D354" t="s">
        <v>2899</v>
      </c>
      <c r="E354" t="s">
        <v>2900</v>
      </c>
      <c r="F354" t="s">
        <v>2412</v>
      </c>
      <c r="G354" t="s">
        <v>2901</v>
      </c>
      <c r="H354" t="s">
        <v>28</v>
      </c>
      <c r="I354" t="s">
        <v>1023</v>
      </c>
    </row>
    <row r="355" spans="1:9" ht="11.25" customHeight="1" x14ac:dyDescent="0.15">
      <c r="A355" t="s">
        <v>2368</v>
      </c>
      <c r="B355" t="s">
        <v>16</v>
      </c>
      <c r="C355" t="s">
        <v>2528</v>
      </c>
      <c r="D355" t="s">
        <v>2529</v>
      </c>
      <c r="E355" t="s">
        <v>2530</v>
      </c>
      <c r="F355" t="s">
        <v>2531</v>
      </c>
      <c r="G355" t="s">
        <v>28</v>
      </c>
      <c r="H355" t="s">
        <v>28</v>
      </c>
      <c r="I355" t="s">
        <v>1023</v>
      </c>
    </row>
    <row r="356" spans="1:9" ht="11.25" customHeight="1" x14ac:dyDescent="0.15">
      <c r="A356" t="s">
        <v>2368</v>
      </c>
      <c r="B356" t="s">
        <v>16</v>
      </c>
      <c r="C356" t="s">
        <v>3125</v>
      </c>
      <c r="D356" t="s">
        <v>3126</v>
      </c>
      <c r="E356" t="s">
        <v>3127</v>
      </c>
      <c r="F356" t="s">
        <v>2541</v>
      </c>
      <c r="G356" t="s">
        <v>28</v>
      </c>
      <c r="H356" t="s">
        <v>28</v>
      </c>
      <c r="I356" t="s">
        <v>1023</v>
      </c>
    </row>
    <row r="357" spans="1:9" ht="11.25" customHeight="1" x14ac:dyDescent="0.15">
      <c r="A357" t="s">
        <v>2368</v>
      </c>
      <c r="B357" t="s">
        <v>16</v>
      </c>
      <c r="C357" t="s">
        <v>2532</v>
      </c>
      <c r="D357" t="s">
        <v>2533</v>
      </c>
      <c r="E357" t="s">
        <v>2534</v>
      </c>
      <c r="F357" t="s">
        <v>2408</v>
      </c>
      <c r="G357" t="s">
        <v>28</v>
      </c>
      <c r="H357" t="s">
        <v>28</v>
      </c>
      <c r="I357" t="s">
        <v>1023</v>
      </c>
    </row>
    <row r="358" spans="1:9" ht="11.25" customHeight="1" x14ac:dyDescent="0.15">
      <c r="A358" t="s">
        <v>2368</v>
      </c>
      <c r="B358" t="s">
        <v>16</v>
      </c>
      <c r="C358" t="s">
        <v>2535</v>
      </c>
      <c r="D358" t="s">
        <v>2536</v>
      </c>
      <c r="E358" t="s">
        <v>2537</v>
      </c>
      <c r="F358" t="s">
        <v>2408</v>
      </c>
      <c r="G358" t="s">
        <v>28</v>
      </c>
      <c r="H358" t="s">
        <v>28</v>
      </c>
      <c r="I358" t="s">
        <v>1023</v>
      </c>
    </row>
    <row r="359" spans="1:9" ht="11.25" customHeight="1" x14ac:dyDescent="0.15">
      <c r="A359" t="s">
        <v>2368</v>
      </c>
      <c r="B359" t="s">
        <v>16</v>
      </c>
      <c r="C359" t="s">
        <v>2538</v>
      </c>
      <c r="D359" t="s">
        <v>2539</v>
      </c>
      <c r="E359" t="s">
        <v>2540</v>
      </c>
      <c r="F359" t="s">
        <v>2541</v>
      </c>
      <c r="G359" t="s">
        <v>28</v>
      </c>
      <c r="H359" t="s">
        <v>28</v>
      </c>
      <c r="I359" t="s">
        <v>1023</v>
      </c>
    </row>
    <row r="360" spans="1:9" ht="11.25" customHeight="1" x14ac:dyDescent="0.15">
      <c r="A360" t="s">
        <v>2368</v>
      </c>
      <c r="B360" t="s">
        <v>16</v>
      </c>
      <c r="C360" t="s">
        <v>2902</v>
      </c>
      <c r="D360" t="s">
        <v>2903</v>
      </c>
      <c r="E360" t="s">
        <v>2904</v>
      </c>
      <c r="F360" t="s">
        <v>2478</v>
      </c>
      <c r="G360" t="s">
        <v>28</v>
      </c>
      <c r="H360" t="s">
        <v>28</v>
      </c>
      <c r="I360" t="s">
        <v>1023</v>
      </c>
    </row>
    <row r="361" spans="1:9" ht="11.25" customHeight="1" x14ac:dyDescent="0.15">
      <c r="A361" t="s">
        <v>2368</v>
      </c>
      <c r="B361" t="s">
        <v>16</v>
      </c>
      <c r="C361" t="s">
        <v>2905</v>
      </c>
      <c r="D361" t="s">
        <v>2906</v>
      </c>
      <c r="E361" t="s">
        <v>2907</v>
      </c>
      <c r="F361" t="s">
        <v>2441</v>
      </c>
      <c r="G361" t="s">
        <v>2908</v>
      </c>
      <c r="H361" t="s">
        <v>28</v>
      </c>
      <c r="I361" t="s">
        <v>1023</v>
      </c>
    </row>
    <row r="362" spans="1:9" ht="11.25" customHeight="1" x14ac:dyDescent="0.15">
      <c r="A362" t="s">
        <v>2368</v>
      </c>
      <c r="B362" t="s">
        <v>16</v>
      </c>
      <c r="C362" t="s">
        <v>2909</v>
      </c>
      <c r="D362" t="s">
        <v>2910</v>
      </c>
      <c r="E362" t="s">
        <v>2911</v>
      </c>
      <c r="F362" t="s">
        <v>2499</v>
      </c>
      <c r="G362" t="s">
        <v>2912</v>
      </c>
      <c r="H362" t="s">
        <v>28</v>
      </c>
      <c r="I362" t="s">
        <v>1023</v>
      </c>
    </row>
    <row r="363" spans="1:9" ht="11.25" customHeight="1" x14ac:dyDescent="0.15">
      <c r="A363" t="s">
        <v>2368</v>
      </c>
      <c r="B363" t="s">
        <v>16</v>
      </c>
      <c r="C363" t="s">
        <v>2542</v>
      </c>
      <c r="D363" t="s">
        <v>2543</v>
      </c>
      <c r="E363" t="s">
        <v>2544</v>
      </c>
      <c r="F363" t="s">
        <v>2412</v>
      </c>
      <c r="G363" t="s">
        <v>28</v>
      </c>
      <c r="H363" t="s">
        <v>28</v>
      </c>
      <c r="I363" t="s">
        <v>1023</v>
      </c>
    </row>
    <row r="364" spans="1:9" ht="11.25" customHeight="1" x14ac:dyDescent="0.15">
      <c r="A364" t="s">
        <v>2368</v>
      </c>
      <c r="B364" t="s">
        <v>16</v>
      </c>
      <c r="C364" t="s">
        <v>2913</v>
      </c>
      <c r="D364" t="s">
        <v>2914</v>
      </c>
      <c r="E364" t="s">
        <v>2915</v>
      </c>
      <c r="F364" t="s">
        <v>2878</v>
      </c>
      <c r="G364" t="s">
        <v>28</v>
      </c>
      <c r="H364" t="s">
        <v>28</v>
      </c>
      <c r="I364" t="s">
        <v>1023</v>
      </c>
    </row>
    <row r="365" spans="1:9" ht="11.25" customHeight="1" x14ac:dyDescent="0.15">
      <c r="A365" t="s">
        <v>2368</v>
      </c>
      <c r="B365" t="s">
        <v>16</v>
      </c>
      <c r="C365" t="s">
        <v>2545</v>
      </c>
      <c r="D365" t="s">
        <v>2546</v>
      </c>
      <c r="E365" t="s">
        <v>2547</v>
      </c>
      <c r="F365" t="s">
        <v>2531</v>
      </c>
      <c r="G365" t="s">
        <v>28</v>
      </c>
      <c r="H365" t="s">
        <v>28</v>
      </c>
      <c r="I365" t="s">
        <v>1023</v>
      </c>
    </row>
    <row r="366" spans="1:9" ht="11.25" customHeight="1" x14ac:dyDescent="0.15">
      <c r="A366" t="s">
        <v>2368</v>
      </c>
      <c r="B366" t="s">
        <v>16</v>
      </c>
      <c r="C366" t="s">
        <v>2916</v>
      </c>
      <c r="D366" t="s">
        <v>2917</v>
      </c>
      <c r="E366" t="s">
        <v>2918</v>
      </c>
      <c r="F366" t="s">
        <v>2441</v>
      </c>
      <c r="G366" t="s">
        <v>28</v>
      </c>
      <c r="H366" t="s">
        <v>28</v>
      </c>
      <c r="I366" t="s">
        <v>1023</v>
      </c>
    </row>
    <row r="367" spans="1:9" ht="11.25" customHeight="1" x14ac:dyDescent="0.15">
      <c r="A367" t="s">
        <v>2368</v>
      </c>
      <c r="B367" t="s">
        <v>16</v>
      </c>
      <c r="C367" t="s">
        <v>2919</v>
      </c>
      <c r="D367" t="s">
        <v>2920</v>
      </c>
      <c r="E367" t="s">
        <v>2921</v>
      </c>
      <c r="F367" t="s">
        <v>2792</v>
      </c>
      <c r="G367" t="s">
        <v>28</v>
      </c>
      <c r="H367" t="s">
        <v>28</v>
      </c>
      <c r="I367" t="s">
        <v>1023</v>
      </c>
    </row>
    <row r="368" spans="1:9" ht="11.25" customHeight="1" x14ac:dyDescent="0.15">
      <c r="A368" t="s">
        <v>2368</v>
      </c>
      <c r="B368" t="s">
        <v>16</v>
      </c>
      <c r="C368" t="s">
        <v>2922</v>
      </c>
      <c r="D368" t="s">
        <v>2923</v>
      </c>
      <c r="E368" t="s">
        <v>2924</v>
      </c>
      <c r="F368" t="s">
        <v>2375</v>
      </c>
      <c r="G368" t="s">
        <v>28</v>
      </c>
      <c r="H368" t="s">
        <v>28</v>
      </c>
      <c r="I368" t="s">
        <v>1023</v>
      </c>
    </row>
    <row r="369" spans="1:9" ht="11.25" customHeight="1" x14ac:dyDescent="0.15">
      <c r="A369" t="s">
        <v>2368</v>
      </c>
      <c r="B369" t="s">
        <v>16</v>
      </c>
      <c r="C369" t="s">
        <v>2548</v>
      </c>
      <c r="D369" t="s">
        <v>2549</v>
      </c>
      <c r="E369" t="s">
        <v>2550</v>
      </c>
      <c r="F369" t="s">
        <v>2551</v>
      </c>
      <c r="G369" t="s">
        <v>28</v>
      </c>
      <c r="H369" t="s">
        <v>28</v>
      </c>
      <c r="I369" t="s">
        <v>1023</v>
      </c>
    </row>
    <row r="370" spans="1:9" ht="11.25" customHeight="1" x14ac:dyDescent="0.15">
      <c r="A370" t="s">
        <v>2368</v>
      </c>
      <c r="B370" t="s">
        <v>16</v>
      </c>
      <c r="C370" t="s">
        <v>2925</v>
      </c>
      <c r="D370" t="s">
        <v>2926</v>
      </c>
      <c r="E370" t="s">
        <v>2927</v>
      </c>
      <c r="F370" t="s">
        <v>2792</v>
      </c>
      <c r="G370" t="s">
        <v>28</v>
      </c>
      <c r="H370" t="s">
        <v>28</v>
      </c>
      <c r="I370" t="s">
        <v>1023</v>
      </c>
    </row>
    <row r="371" spans="1:9" ht="11.25" customHeight="1" x14ac:dyDescent="0.15">
      <c r="A371" t="s">
        <v>2368</v>
      </c>
      <c r="B371" t="s">
        <v>16</v>
      </c>
      <c r="C371" t="s">
        <v>2552</v>
      </c>
      <c r="D371" t="s">
        <v>2553</v>
      </c>
      <c r="E371" t="s">
        <v>2554</v>
      </c>
      <c r="F371" t="s">
        <v>54</v>
      </c>
      <c r="G371" t="s">
        <v>28</v>
      </c>
      <c r="H371" t="s">
        <v>28</v>
      </c>
      <c r="I371" t="s">
        <v>1023</v>
      </c>
    </row>
    <row r="372" spans="1:9" ht="11.25" customHeight="1" x14ac:dyDescent="0.15">
      <c r="A372" t="s">
        <v>2368</v>
      </c>
      <c r="B372" t="s">
        <v>16</v>
      </c>
      <c r="C372" t="s">
        <v>2562</v>
      </c>
      <c r="D372" t="s">
        <v>2563</v>
      </c>
      <c r="E372" t="s">
        <v>2564</v>
      </c>
      <c r="F372" t="s">
        <v>2565</v>
      </c>
      <c r="G372" t="s">
        <v>28</v>
      </c>
      <c r="H372" t="s">
        <v>28</v>
      </c>
      <c r="I372" t="s">
        <v>1023</v>
      </c>
    </row>
    <row r="373" spans="1:9" ht="11.25" customHeight="1" x14ac:dyDescent="0.15">
      <c r="A373" t="s">
        <v>2368</v>
      </c>
      <c r="B373" t="s">
        <v>16</v>
      </c>
      <c r="C373" t="s">
        <v>3128</v>
      </c>
      <c r="D373" t="s">
        <v>3129</v>
      </c>
      <c r="E373" t="s">
        <v>3130</v>
      </c>
      <c r="F373" t="s">
        <v>2433</v>
      </c>
      <c r="G373" t="s">
        <v>28</v>
      </c>
      <c r="H373" t="s">
        <v>28</v>
      </c>
      <c r="I373" t="s">
        <v>1023</v>
      </c>
    </row>
    <row r="374" spans="1:9" ht="11.25" customHeight="1" x14ac:dyDescent="0.15">
      <c r="A374" t="s">
        <v>2368</v>
      </c>
      <c r="B374" t="s">
        <v>16</v>
      </c>
      <c r="C374" t="s">
        <v>2583</v>
      </c>
      <c r="D374" t="s">
        <v>2584</v>
      </c>
      <c r="E374" t="s">
        <v>2585</v>
      </c>
      <c r="F374" t="s">
        <v>2408</v>
      </c>
      <c r="G374" t="s">
        <v>28</v>
      </c>
      <c r="H374" t="s">
        <v>28</v>
      </c>
      <c r="I374" t="s">
        <v>1023</v>
      </c>
    </row>
    <row r="375" spans="1:9" ht="11.25" customHeight="1" x14ac:dyDescent="0.15">
      <c r="A375" t="s">
        <v>2368</v>
      </c>
      <c r="B375" t="s">
        <v>16</v>
      </c>
      <c r="C375" t="s">
        <v>2934</v>
      </c>
      <c r="D375" t="s">
        <v>2935</v>
      </c>
      <c r="E375" t="s">
        <v>2936</v>
      </c>
      <c r="F375" t="s">
        <v>2412</v>
      </c>
      <c r="G375" t="s">
        <v>2937</v>
      </c>
      <c r="H375" t="s">
        <v>28</v>
      </c>
      <c r="I375" t="s">
        <v>1023</v>
      </c>
    </row>
    <row r="376" spans="1:9" ht="11.25" customHeight="1" x14ac:dyDescent="0.15">
      <c r="A376" t="s">
        <v>2368</v>
      </c>
      <c r="B376" t="s">
        <v>16</v>
      </c>
      <c r="C376" t="s">
        <v>2938</v>
      </c>
      <c r="D376" t="s">
        <v>2939</v>
      </c>
      <c r="E376" t="s">
        <v>2940</v>
      </c>
      <c r="F376" t="s">
        <v>2424</v>
      </c>
      <c r="G376" t="s">
        <v>2941</v>
      </c>
      <c r="H376" t="s">
        <v>28</v>
      </c>
      <c r="I376" t="s">
        <v>1023</v>
      </c>
    </row>
    <row r="377" spans="1:9" ht="11.25" customHeight="1" x14ac:dyDescent="0.15">
      <c r="A377" t="s">
        <v>2368</v>
      </c>
      <c r="B377" t="s">
        <v>16</v>
      </c>
      <c r="C377" t="s">
        <v>2942</v>
      </c>
      <c r="D377" t="s">
        <v>2943</v>
      </c>
      <c r="E377" t="s">
        <v>2944</v>
      </c>
      <c r="F377" t="s">
        <v>2689</v>
      </c>
      <c r="G377" t="s">
        <v>2945</v>
      </c>
      <c r="H377" t="s">
        <v>28</v>
      </c>
      <c r="I377" t="s">
        <v>1023</v>
      </c>
    </row>
    <row r="378" spans="1:9" ht="11.25" customHeight="1" x14ac:dyDescent="0.15">
      <c r="A378" t="s">
        <v>2368</v>
      </c>
      <c r="B378" t="s">
        <v>16</v>
      </c>
      <c r="C378" t="s">
        <v>2946</v>
      </c>
      <c r="D378" t="s">
        <v>2947</v>
      </c>
      <c r="E378" t="s">
        <v>2948</v>
      </c>
      <c r="F378" t="s">
        <v>2949</v>
      </c>
      <c r="G378" t="s">
        <v>28</v>
      </c>
      <c r="H378" t="s">
        <v>28</v>
      </c>
      <c r="I378" t="s">
        <v>1023</v>
      </c>
    </row>
    <row r="379" spans="1:9" ht="11.25" customHeight="1" x14ac:dyDescent="0.15">
      <c r="A379" t="s">
        <v>2368</v>
      </c>
      <c r="B379" t="s">
        <v>16</v>
      </c>
      <c r="C379" t="s">
        <v>2954</v>
      </c>
      <c r="D379" t="s">
        <v>2955</v>
      </c>
      <c r="E379" t="s">
        <v>2956</v>
      </c>
      <c r="F379" t="s">
        <v>2400</v>
      </c>
      <c r="G379" t="s">
        <v>28</v>
      </c>
      <c r="H379" t="s">
        <v>28</v>
      </c>
      <c r="I379" t="s">
        <v>1023</v>
      </c>
    </row>
    <row r="380" spans="1:9" ht="11.25" customHeight="1" x14ac:dyDescent="0.15">
      <c r="A380" t="s">
        <v>2368</v>
      </c>
      <c r="B380" t="s">
        <v>16</v>
      </c>
      <c r="C380" t="s">
        <v>2957</v>
      </c>
      <c r="D380" t="s">
        <v>2958</v>
      </c>
      <c r="E380" t="s">
        <v>2959</v>
      </c>
      <c r="F380" t="s">
        <v>2960</v>
      </c>
      <c r="G380" t="s">
        <v>28</v>
      </c>
      <c r="H380" t="s">
        <v>28</v>
      </c>
      <c r="I380" t="s">
        <v>1023</v>
      </c>
    </row>
    <row r="381" spans="1:9" ht="11.25" customHeight="1" x14ac:dyDescent="0.15">
      <c r="A381" t="s">
        <v>2368</v>
      </c>
      <c r="B381" t="s">
        <v>16</v>
      </c>
      <c r="C381" t="s">
        <v>2961</v>
      </c>
      <c r="D381" t="s">
        <v>2962</v>
      </c>
      <c r="E381" t="s">
        <v>2963</v>
      </c>
      <c r="F381" t="s">
        <v>2766</v>
      </c>
      <c r="G381" t="s">
        <v>28</v>
      </c>
      <c r="H381" t="s">
        <v>28</v>
      </c>
      <c r="I381" t="s">
        <v>1023</v>
      </c>
    </row>
    <row r="382" spans="1:9" ht="11.25" customHeight="1" x14ac:dyDescent="0.15">
      <c r="A382" t="s">
        <v>2368</v>
      </c>
      <c r="B382" t="s">
        <v>16</v>
      </c>
      <c r="C382" t="s">
        <v>3131</v>
      </c>
      <c r="D382" t="s">
        <v>3132</v>
      </c>
      <c r="E382" t="s">
        <v>3133</v>
      </c>
      <c r="F382" t="s">
        <v>2379</v>
      </c>
      <c r="G382" t="s">
        <v>2953</v>
      </c>
      <c r="H382" t="s">
        <v>28</v>
      </c>
      <c r="I382" t="s">
        <v>1023</v>
      </c>
    </row>
    <row r="383" spans="1:9" ht="11.25" customHeight="1" x14ac:dyDescent="0.15">
      <c r="A383" t="s">
        <v>2368</v>
      </c>
      <c r="B383" t="s">
        <v>16</v>
      </c>
      <c r="C383" t="s">
        <v>3134</v>
      </c>
      <c r="D383" t="s">
        <v>3132</v>
      </c>
      <c r="E383" t="s">
        <v>3135</v>
      </c>
      <c r="F383" t="s">
        <v>2792</v>
      </c>
      <c r="G383" t="s">
        <v>2967</v>
      </c>
      <c r="H383" t="s">
        <v>28</v>
      </c>
      <c r="I383" t="s">
        <v>1023</v>
      </c>
    </row>
    <row r="384" spans="1:9" ht="11.25" customHeight="1" x14ac:dyDescent="0.15">
      <c r="A384" t="s">
        <v>2368</v>
      </c>
      <c r="B384" t="s">
        <v>16</v>
      </c>
      <c r="C384" t="s">
        <v>2598</v>
      </c>
      <c r="D384" t="s">
        <v>2599</v>
      </c>
      <c r="E384" t="s">
        <v>2600</v>
      </c>
      <c r="F384" t="s">
        <v>2601</v>
      </c>
      <c r="G384" t="s">
        <v>2602</v>
      </c>
      <c r="H384" t="s">
        <v>28</v>
      </c>
      <c r="I384" t="s">
        <v>1023</v>
      </c>
    </row>
    <row r="385" spans="1:9" ht="11.25" customHeight="1" x14ac:dyDescent="0.15">
      <c r="A385" t="s">
        <v>2368</v>
      </c>
      <c r="B385" t="s">
        <v>16</v>
      </c>
      <c r="C385" t="s">
        <v>2968</v>
      </c>
      <c r="D385" t="s">
        <v>2969</v>
      </c>
      <c r="E385" t="s">
        <v>2970</v>
      </c>
      <c r="F385" t="s">
        <v>2412</v>
      </c>
      <c r="G385" t="s">
        <v>28</v>
      </c>
      <c r="H385" t="s">
        <v>28</v>
      </c>
      <c r="I385" t="s">
        <v>1023</v>
      </c>
    </row>
    <row r="386" spans="1:9" ht="11.25" customHeight="1" x14ac:dyDescent="0.15">
      <c r="A386" t="s">
        <v>2368</v>
      </c>
      <c r="B386" t="s">
        <v>16</v>
      </c>
      <c r="C386" t="s">
        <v>3136</v>
      </c>
      <c r="D386" t="s">
        <v>3137</v>
      </c>
      <c r="E386" t="s">
        <v>3138</v>
      </c>
      <c r="F386" t="s">
        <v>2375</v>
      </c>
      <c r="G386" t="s">
        <v>28</v>
      </c>
      <c r="H386" t="s">
        <v>28</v>
      </c>
      <c r="I386" t="s">
        <v>1023</v>
      </c>
    </row>
    <row r="387" spans="1:9" ht="11.25" customHeight="1" x14ac:dyDescent="0.15">
      <c r="A387" t="s">
        <v>2368</v>
      </c>
      <c r="B387" t="s">
        <v>16</v>
      </c>
      <c r="C387" t="s">
        <v>2974</v>
      </c>
      <c r="D387" t="s">
        <v>2975</v>
      </c>
      <c r="E387" t="s">
        <v>2976</v>
      </c>
      <c r="F387" t="s">
        <v>2371</v>
      </c>
      <c r="G387" t="s">
        <v>28</v>
      </c>
      <c r="H387" t="s">
        <v>28</v>
      </c>
      <c r="I387" t="s">
        <v>1023</v>
      </c>
    </row>
    <row r="388" spans="1:9" ht="11.25" customHeight="1" x14ac:dyDescent="0.15">
      <c r="A388" t="s">
        <v>2368</v>
      </c>
      <c r="B388" t="s">
        <v>16</v>
      </c>
      <c r="C388" t="s">
        <v>2977</v>
      </c>
      <c r="D388" t="s">
        <v>2978</v>
      </c>
      <c r="E388" t="s">
        <v>2979</v>
      </c>
      <c r="F388" t="s">
        <v>2375</v>
      </c>
      <c r="G388" t="s">
        <v>28</v>
      </c>
      <c r="H388" t="s">
        <v>28</v>
      </c>
      <c r="I388" t="s">
        <v>1023</v>
      </c>
    </row>
    <row r="389" spans="1:9" ht="11.25" customHeight="1" x14ac:dyDescent="0.15">
      <c r="A389" t="s">
        <v>2368</v>
      </c>
      <c r="B389" t="s">
        <v>16</v>
      </c>
      <c r="C389" t="s">
        <v>2615</v>
      </c>
      <c r="D389" t="s">
        <v>2616</v>
      </c>
      <c r="E389" t="s">
        <v>2617</v>
      </c>
      <c r="F389" t="s">
        <v>2601</v>
      </c>
      <c r="G389" t="s">
        <v>28</v>
      </c>
      <c r="H389" t="s">
        <v>28</v>
      </c>
      <c r="I389" t="s">
        <v>1023</v>
      </c>
    </row>
    <row r="390" spans="1:9" ht="11.25" customHeight="1" x14ac:dyDescent="0.15">
      <c r="A390" t="s">
        <v>2368</v>
      </c>
      <c r="B390" t="s">
        <v>16</v>
      </c>
      <c r="C390" t="s">
        <v>2621</v>
      </c>
      <c r="D390" t="s">
        <v>2622</v>
      </c>
      <c r="E390" t="s">
        <v>2623</v>
      </c>
      <c r="F390" t="s">
        <v>2601</v>
      </c>
      <c r="G390" t="s">
        <v>28</v>
      </c>
      <c r="H390" t="s">
        <v>28</v>
      </c>
      <c r="I390" t="s">
        <v>1023</v>
      </c>
    </row>
    <row r="391" spans="1:9" ht="11.25" customHeight="1" x14ac:dyDescent="0.15">
      <c r="A391" t="s">
        <v>2368</v>
      </c>
      <c r="B391" t="s">
        <v>16</v>
      </c>
      <c r="C391" t="s">
        <v>2980</v>
      </c>
      <c r="D391" t="s">
        <v>2981</v>
      </c>
      <c r="E391" t="s">
        <v>2982</v>
      </c>
      <c r="F391" t="s">
        <v>2601</v>
      </c>
      <c r="G391" t="s">
        <v>28</v>
      </c>
      <c r="H391" t="s">
        <v>28</v>
      </c>
      <c r="I391" t="s">
        <v>1023</v>
      </c>
    </row>
    <row r="392" spans="1:9" ht="11.25" customHeight="1" x14ac:dyDescent="0.15">
      <c r="A392" t="s">
        <v>2368</v>
      </c>
      <c r="B392" t="s">
        <v>16</v>
      </c>
      <c r="C392" t="s">
        <v>2983</v>
      </c>
      <c r="D392" t="s">
        <v>2984</v>
      </c>
      <c r="E392" t="s">
        <v>2985</v>
      </c>
      <c r="F392" t="s">
        <v>2551</v>
      </c>
      <c r="G392" t="s">
        <v>2986</v>
      </c>
      <c r="H392" t="s">
        <v>28</v>
      </c>
      <c r="I392" t="s">
        <v>1023</v>
      </c>
    </row>
    <row r="393" spans="1:9" ht="11.25" customHeight="1" x14ac:dyDescent="0.15">
      <c r="A393" t="s">
        <v>2368</v>
      </c>
      <c r="B393" t="s">
        <v>16</v>
      </c>
      <c r="C393" t="s">
        <v>2987</v>
      </c>
      <c r="D393" t="s">
        <v>2988</v>
      </c>
      <c r="E393" t="s">
        <v>2989</v>
      </c>
      <c r="F393" t="s">
        <v>2375</v>
      </c>
      <c r="G393" t="s">
        <v>2990</v>
      </c>
      <c r="H393" t="s">
        <v>28</v>
      </c>
      <c r="I393" t="s">
        <v>1023</v>
      </c>
    </row>
    <row r="394" spans="1:9" ht="11.25" customHeight="1" x14ac:dyDescent="0.15">
      <c r="A394" t="s">
        <v>2368</v>
      </c>
      <c r="B394" t="s">
        <v>16</v>
      </c>
      <c r="C394" t="s">
        <v>2991</v>
      </c>
      <c r="D394" t="s">
        <v>2992</v>
      </c>
      <c r="E394" t="s">
        <v>2993</v>
      </c>
      <c r="F394" t="s">
        <v>2507</v>
      </c>
      <c r="G394" t="s">
        <v>28</v>
      </c>
      <c r="H394" t="s">
        <v>28</v>
      </c>
      <c r="I394" t="s">
        <v>1023</v>
      </c>
    </row>
    <row r="395" spans="1:9" ht="11.25" customHeight="1" x14ac:dyDescent="0.15">
      <c r="A395" t="s">
        <v>2368</v>
      </c>
      <c r="B395" t="s">
        <v>16</v>
      </c>
      <c r="C395" t="s">
        <v>2994</v>
      </c>
      <c r="D395" t="s">
        <v>2995</v>
      </c>
      <c r="E395" t="s">
        <v>2996</v>
      </c>
      <c r="F395" t="s">
        <v>2792</v>
      </c>
      <c r="G395" t="s">
        <v>2997</v>
      </c>
      <c r="H395" t="s">
        <v>28</v>
      </c>
      <c r="I395" t="s">
        <v>1023</v>
      </c>
    </row>
    <row r="396" spans="1:9" ht="11.25" customHeight="1" x14ac:dyDescent="0.15">
      <c r="A396" t="s">
        <v>2368</v>
      </c>
      <c r="B396" t="s">
        <v>16</v>
      </c>
      <c r="C396" t="s">
        <v>2998</v>
      </c>
      <c r="D396" t="s">
        <v>2999</v>
      </c>
      <c r="E396" t="s">
        <v>3000</v>
      </c>
      <c r="F396" t="s">
        <v>2433</v>
      </c>
      <c r="G396" t="s">
        <v>3001</v>
      </c>
      <c r="H396" t="s">
        <v>28</v>
      </c>
      <c r="I396" t="s">
        <v>1023</v>
      </c>
    </row>
    <row r="397" spans="1:9" ht="11.25" customHeight="1" x14ac:dyDescent="0.15">
      <c r="A397" t="s">
        <v>2368</v>
      </c>
      <c r="B397" t="s">
        <v>16</v>
      </c>
      <c r="C397" t="s">
        <v>3139</v>
      </c>
      <c r="D397" t="s">
        <v>3140</v>
      </c>
      <c r="E397" t="s">
        <v>3141</v>
      </c>
      <c r="F397" t="s">
        <v>2371</v>
      </c>
      <c r="G397" t="s">
        <v>28</v>
      </c>
      <c r="H397" t="s">
        <v>28</v>
      </c>
      <c r="I397" t="s">
        <v>1023</v>
      </c>
    </row>
    <row r="398" spans="1:9" ht="11.25" customHeight="1" x14ac:dyDescent="0.15">
      <c r="A398" t="s">
        <v>2368</v>
      </c>
      <c r="B398" t="s">
        <v>16</v>
      </c>
      <c r="C398" t="s">
        <v>2633</v>
      </c>
      <c r="D398" t="s">
        <v>2634</v>
      </c>
      <c r="E398" t="s">
        <v>2635</v>
      </c>
      <c r="F398" t="s">
        <v>2601</v>
      </c>
      <c r="G398" t="s">
        <v>28</v>
      </c>
      <c r="H398" t="s">
        <v>28</v>
      </c>
      <c r="I398" t="s">
        <v>1023</v>
      </c>
    </row>
    <row r="399" spans="1:9" ht="11.25" customHeight="1" x14ac:dyDescent="0.15">
      <c r="A399" t="s">
        <v>2368</v>
      </c>
      <c r="B399" t="s">
        <v>16</v>
      </c>
      <c r="C399" t="s">
        <v>3006</v>
      </c>
      <c r="D399" t="s">
        <v>3007</v>
      </c>
      <c r="E399" t="s">
        <v>3008</v>
      </c>
      <c r="F399" t="s">
        <v>2551</v>
      </c>
      <c r="G399" t="s">
        <v>28</v>
      </c>
      <c r="H399" t="s">
        <v>28</v>
      </c>
      <c r="I399" t="s">
        <v>1023</v>
      </c>
    </row>
    <row r="400" spans="1:9" ht="11.25" customHeight="1" x14ac:dyDescent="0.15">
      <c r="A400" t="s">
        <v>2368</v>
      </c>
      <c r="B400" t="s">
        <v>16</v>
      </c>
      <c r="C400" t="s">
        <v>2646</v>
      </c>
      <c r="D400" t="s">
        <v>2647</v>
      </c>
      <c r="E400" t="s">
        <v>2648</v>
      </c>
      <c r="F400" t="s">
        <v>2412</v>
      </c>
      <c r="G400" t="s">
        <v>28</v>
      </c>
      <c r="H400" t="s">
        <v>28</v>
      </c>
      <c r="I400" t="s">
        <v>1023</v>
      </c>
    </row>
    <row r="401" spans="1:9" ht="11.25" customHeight="1" x14ac:dyDescent="0.15">
      <c r="A401" t="s">
        <v>2368</v>
      </c>
      <c r="B401" t="s">
        <v>16</v>
      </c>
      <c r="C401" t="s">
        <v>2664</v>
      </c>
      <c r="D401" t="s">
        <v>2665</v>
      </c>
      <c r="E401" t="s">
        <v>2666</v>
      </c>
      <c r="F401" t="s">
        <v>2572</v>
      </c>
      <c r="G401" t="s">
        <v>2667</v>
      </c>
      <c r="H401" t="s">
        <v>28</v>
      </c>
      <c r="I401" t="s">
        <v>1023</v>
      </c>
    </row>
    <row r="402" spans="1:9" ht="11.25" customHeight="1" x14ac:dyDescent="0.15">
      <c r="A402" t="s">
        <v>2368</v>
      </c>
      <c r="B402" t="s">
        <v>16</v>
      </c>
      <c r="C402" t="s">
        <v>3009</v>
      </c>
      <c r="D402" t="s">
        <v>3010</v>
      </c>
      <c r="E402" t="s">
        <v>3011</v>
      </c>
      <c r="F402" t="s">
        <v>2558</v>
      </c>
      <c r="G402" t="s">
        <v>28</v>
      </c>
      <c r="H402" t="s">
        <v>28</v>
      </c>
      <c r="I402" t="s">
        <v>1023</v>
      </c>
    </row>
    <row r="403" spans="1:9" ht="11.25" customHeight="1" x14ac:dyDescent="0.15">
      <c r="A403" t="s">
        <v>2368</v>
      </c>
      <c r="B403" t="s">
        <v>16</v>
      </c>
      <c r="C403" t="s">
        <v>3012</v>
      </c>
      <c r="D403" t="s">
        <v>3013</v>
      </c>
      <c r="E403" t="s">
        <v>3014</v>
      </c>
      <c r="F403" t="s">
        <v>2507</v>
      </c>
      <c r="G403" t="s">
        <v>28</v>
      </c>
      <c r="H403" t="s">
        <v>28</v>
      </c>
      <c r="I403" t="s">
        <v>1023</v>
      </c>
    </row>
    <row r="404" spans="1:9" ht="11.25" customHeight="1" x14ac:dyDescent="0.15">
      <c r="A404" t="s">
        <v>2368</v>
      </c>
      <c r="B404" t="s">
        <v>16</v>
      </c>
      <c r="C404" t="s">
        <v>3015</v>
      </c>
      <c r="D404" t="s">
        <v>3016</v>
      </c>
      <c r="E404" t="s">
        <v>3017</v>
      </c>
      <c r="F404" t="s">
        <v>3018</v>
      </c>
      <c r="G404" t="s">
        <v>28</v>
      </c>
      <c r="H404" t="s">
        <v>28</v>
      </c>
      <c r="I404" t="s">
        <v>1023</v>
      </c>
    </row>
    <row r="405" spans="1:9" ht="11.25" customHeight="1" x14ac:dyDescent="0.15">
      <c r="A405" t="s">
        <v>2368</v>
      </c>
      <c r="B405" t="s">
        <v>16</v>
      </c>
      <c r="C405" t="s">
        <v>3019</v>
      </c>
      <c r="D405" t="s">
        <v>3020</v>
      </c>
      <c r="E405" t="s">
        <v>3021</v>
      </c>
      <c r="F405" t="s">
        <v>2572</v>
      </c>
      <c r="G405" t="s">
        <v>28</v>
      </c>
      <c r="H405" t="s">
        <v>28</v>
      </c>
      <c r="I405" t="s">
        <v>1023</v>
      </c>
    </row>
    <row r="406" spans="1:9" ht="11.25" customHeight="1" x14ac:dyDescent="0.15">
      <c r="A406" t="s">
        <v>2368</v>
      </c>
      <c r="B406" t="s">
        <v>16</v>
      </c>
      <c r="C406" t="s">
        <v>3022</v>
      </c>
      <c r="D406" t="s">
        <v>3023</v>
      </c>
      <c r="E406" t="s">
        <v>3024</v>
      </c>
      <c r="F406" t="s">
        <v>2400</v>
      </c>
      <c r="G406" t="s">
        <v>28</v>
      </c>
      <c r="H406" t="s">
        <v>28</v>
      </c>
      <c r="I406" t="s">
        <v>1023</v>
      </c>
    </row>
    <row r="407" spans="1:9" ht="11.25" customHeight="1" x14ac:dyDescent="0.15">
      <c r="A407" t="s">
        <v>2368</v>
      </c>
      <c r="B407" t="s">
        <v>16</v>
      </c>
      <c r="C407" t="s">
        <v>2683</v>
      </c>
      <c r="D407" t="s">
        <v>2684</v>
      </c>
      <c r="E407" t="s">
        <v>2685</v>
      </c>
      <c r="F407" t="s">
        <v>2551</v>
      </c>
      <c r="G407" t="s">
        <v>2434</v>
      </c>
      <c r="H407" t="s">
        <v>28</v>
      </c>
      <c r="I407" t="s">
        <v>1023</v>
      </c>
    </row>
    <row r="408" spans="1:9" ht="11.25" customHeight="1" x14ac:dyDescent="0.15">
      <c r="A408" t="s">
        <v>2368</v>
      </c>
      <c r="B408" t="s">
        <v>16</v>
      </c>
      <c r="C408" t="s">
        <v>3142</v>
      </c>
      <c r="D408" t="s">
        <v>3143</v>
      </c>
      <c r="E408" t="s">
        <v>3144</v>
      </c>
      <c r="F408" t="s">
        <v>2689</v>
      </c>
      <c r="G408" t="s">
        <v>3145</v>
      </c>
      <c r="H408" t="s">
        <v>28</v>
      </c>
      <c r="I408" t="s">
        <v>1023</v>
      </c>
    </row>
    <row r="409" spans="1:9" ht="11.25" customHeight="1" x14ac:dyDescent="0.15">
      <c r="A409" t="s">
        <v>2368</v>
      </c>
      <c r="B409" t="s">
        <v>16</v>
      </c>
      <c r="C409" t="s">
        <v>3025</v>
      </c>
      <c r="D409" t="s">
        <v>3026</v>
      </c>
      <c r="E409" t="s">
        <v>3027</v>
      </c>
      <c r="F409" t="s">
        <v>2551</v>
      </c>
      <c r="G409" t="s">
        <v>28</v>
      </c>
      <c r="H409" t="s">
        <v>28</v>
      </c>
      <c r="I409" t="s">
        <v>1023</v>
      </c>
    </row>
    <row r="410" spans="1:9" ht="11.25" customHeight="1" x14ac:dyDescent="0.15">
      <c r="A410" t="s">
        <v>2368</v>
      </c>
      <c r="B410" t="s">
        <v>16</v>
      </c>
      <c r="C410" t="s">
        <v>2707</v>
      </c>
      <c r="D410" t="s">
        <v>2708</v>
      </c>
      <c r="E410" t="s">
        <v>2709</v>
      </c>
      <c r="F410" t="s">
        <v>2710</v>
      </c>
      <c r="G410" t="s">
        <v>28</v>
      </c>
      <c r="H410" t="s">
        <v>28</v>
      </c>
      <c r="I410" t="s">
        <v>1023</v>
      </c>
    </row>
    <row r="411" spans="1:9" ht="11.25" customHeight="1" x14ac:dyDescent="0.15">
      <c r="A411" t="s">
        <v>2368</v>
      </c>
      <c r="B411" t="s">
        <v>16</v>
      </c>
      <c r="C411" t="s">
        <v>3031</v>
      </c>
      <c r="D411" t="s">
        <v>3032</v>
      </c>
      <c r="E411" t="s">
        <v>3033</v>
      </c>
      <c r="F411" t="s">
        <v>2400</v>
      </c>
      <c r="G411" t="s">
        <v>28</v>
      </c>
      <c r="H411" t="s">
        <v>28</v>
      </c>
      <c r="I411" t="s">
        <v>1023</v>
      </c>
    </row>
    <row r="412" spans="1:9" ht="11.25" customHeight="1" x14ac:dyDescent="0.15">
      <c r="A412" t="s">
        <v>2368</v>
      </c>
      <c r="B412" t="s">
        <v>16</v>
      </c>
      <c r="C412" t="s">
        <v>3034</v>
      </c>
      <c r="D412" t="s">
        <v>3035</v>
      </c>
      <c r="E412" t="s">
        <v>3036</v>
      </c>
      <c r="F412" t="s">
        <v>2601</v>
      </c>
      <c r="G412" t="s">
        <v>28</v>
      </c>
      <c r="H412" t="s">
        <v>28</v>
      </c>
      <c r="I412" t="s">
        <v>1023</v>
      </c>
    </row>
    <row r="413" spans="1:9" ht="11.25" customHeight="1" x14ac:dyDescent="0.15">
      <c r="A413" t="s">
        <v>2368</v>
      </c>
      <c r="B413" t="s">
        <v>16</v>
      </c>
      <c r="C413" t="s">
        <v>3043</v>
      </c>
      <c r="D413" t="s">
        <v>3044</v>
      </c>
      <c r="E413" t="s">
        <v>3045</v>
      </c>
      <c r="F413" t="s">
        <v>2478</v>
      </c>
      <c r="G413" t="s">
        <v>28</v>
      </c>
      <c r="H413" t="s">
        <v>28</v>
      </c>
      <c r="I413" t="s">
        <v>1023</v>
      </c>
    </row>
    <row r="414" spans="1:9" ht="11.25" customHeight="1" x14ac:dyDescent="0.15">
      <c r="A414" t="s">
        <v>2368</v>
      </c>
      <c r="B414" t="s">
        <v>16</v>
      </c>
      <c r="C414" t="s">
        <v>3046</v>
      </c>
      <c r="D414" t="s">
        <v>3047</v>
      </c>
      <c r="E414" t="s">
        <v>3048</v>
      </c>
      <c r="F414" t="s">
        <v>2371</v>
      </c>
      <c r="G414" t="s">
        <v>28</v>
      </c>
      <c r="H414" t="s">
        <v>28</v>
      </c>
      <c r="I414" t="s">
        <v>1023</v>
      </c>
    </row>
    <row r="415" spans="1:9" ht="11.25" customHeight="1" x14ac:dyDescent="0.15">
      <c r="A415" t="s">
        <v>2368</v>
      </c>
      <c r="B415" t="s">
        <v>16</v>
      </c>
      <c r="C415" t="s">
        <v>3052</v>
      </c>
      <c r="D415" t="s">
        <v>3053</v>
      </c>
      <c r="E415" t="s">
        <v>3054</v>
      </c>
      <c r="F415" t="s">
        <v>2424</v>
      </c>
      <c r="G415" t="s">
        <v>3055</v>
      </c>
      <c r="H415" t="s">
        <v>28</v>
      </c>
      <c r="I415" t="s">
        <v>1023</v>
      </c>
    </row>
    <row r="416" spans="1:9" ht="11.25" customHeight="1" x14ac:dyDescent="0.15">
      <c r="A416" t="s">
        <v>2368</v>
      </c>
      <c r="B416" t="s">
        <v>16</v>
      </c>
      <c r="C416" t="s">
        <v>3056</v>
      </c>
      <c r="D416" t="s">
        <v>3057</v>
      </c>
      <c r="E416" t="s">
        <v>2370</v>
      </c>
      <c r="F416" t="s">
        <v>2371</v>
      </c>
      <c r="G416" t="s">
        <v>28</v>
      </c>
      <c r="H416" t="s">
        <v>28</v>
      </c>
      <c r="I416" t="s">
        <v>1023</v>
      </c>
    </row>
    <row r="417" spans="1:9" ht="11.25" customHeight="1" x14ac:dyDescent="0.15">
      <c r="A417" t="s">
        <v>2368</v>
      </c>
      <c r="B417" t="s">
        <v>16</v>
      </c>
      <c r="C417" t="s">
        <v>3058</v>
      </c>
      <c r="D417" t="s">
        <v>3059</v>
      </c>
      <c r="E417" t="s">
        <v>3060</v>
      </c>
      <c r="F417" t="s">
        <v>2375</v>
      </c>
      <c r="G417" t="s">
        <v>28</v>
      </c>
      <c r="H417" t="s">
        <v>28</v>
      </c>
      <c r="I417" t="s">
        <v>1023</v>
      </c>
    </row>
    <row r="418" spans="1:9" ht="11.25" customHeight="1" x14ac:dyDescent="0.15">
      <c r="A418" t="s">
        <v>2368</v>
      </c>
      <c r="B418" t="s">
        <v>16</v>
      </c>
      <c r="C418" t="s">
        <v>3061</v>
      </c>
      <c r="D418" t="s">
        <v>3062</v>
      </c>
      <c r="E418" t="s">
        <v>3063</v>
      </c>
      <c r="F418" t="s">
        <v>2375</v>
      </c>
      <c r="G418" t="s">
        <v>28</v>
      </c>
      <c r="H418" t="s">
        <v>28</v>
      </c>
      <c r="I418" t="s">
        <v>1023</v>
      </c>
    </row>
    <row r="419" spans="1:9" ht="11.25" customHeight="1" x14ac:dyDescent="0.15">
      <c r="A419" t="s">
        <v>2368</v>
      </c>
      <c r="B419" t="s">
        <v>16</v>
      </c>
      <c r="C419" t="s">
        <v>2714</v>
      </c>
      <c r="D419" t="s">
        <v>2715</v>
      </c>
      <c r="E419" t="s">
        <v>2716</v>
      </c>
      <c r="F419" t="s">
        <v>2383</v>
      </c>
      <c r="G419" t="s">
        <v>28</v>
      </c>
      <c r="H419" t="s">
        <v>28</v>
      </c>
      <c r="I419" t="s">
        <v>1023</v>
      </c>
    </row>
    <row r="420" spans="1:9" ht="11.25" customHeight="1" x14ac:dyDescent="0.15">
      <c r="A420" t="s">
        <v>2368</v>
      </c>
      <c r="B420" t="s">
        <v>16</v>
      </c>
      <c r="C420" t="s">
        <v>2725</v>
      </c>
      <c r="D420" t="s">
        <v>2726</v>
      </c>
      <c r="E420" t="s">
        <v>2727</v>
      </c>
      <c r="F420" t="s">
        <v>2696</v>
      </c>
      <c r="G420" t="s">
        <v>2728</v>
      </c>
      <c r="H420" t="s">
        <v>28</v>
      </c>
      <c r="I420" t="s">
        <v>1023</v>
      </c>
    </row>
    <row r="421" spans="1:9" ht="11.25" customHeight="1" x14ac:dyDescent="0.15">
      <c r="A421" t="s">
        <v>2368</v>
      </c>
      <c r="B421" t="s">
        <v>16</v>
      </c>
      <c r="C421" t="s">
        <v>2729</v>
      </c>
      <c r="D421" t="s">
        <v>2730</v>
      </c>
      <c r="E421" t="s">
        <v>2731</v>
      </c>
      <c r="F421" t="s">
        <v>2424</v>
      </c>
      <c r="G421" t="s">
        <v>2732</v>
      </c>
      <c r="H421" t="s">
        <v>28</v>
      </c>
      <c r="I421" t="s">
        <v>1023</v>
      </c>
    </row>
    <row r="422" spans="1:9" ht="11.25" customHeight="1" x14ac:dyDescent="0.15">
      <c r="A422" t="s">
        <v>2368</v>
      </c>
      <c r="B422" t="s">
        <v>16</v>
      </c>
      <c r="C422" t="s">
        <v>3070</v>
      </c>
      <c r="D422" t="s">
        <v>3071</v>
      </c>
      <c r="E422" t="s">
        <v>3072</v>
      </c>
      <c r="F422" t="s">
        <v>3073</v>
      </c>
      <c r="G422" t="s">
        <v>28</v>
      </c>
      <c r="H422" t="s">
        <v>28</v>
      </c>
      <c r="I422" t="s">
        <v>1023</v>
      </c>
    </row>
    <row r="423" spans="1:9" ht="11.25" customHeight="1" x14ac:dyDescent="0.15">
      <c r="A423" t="s">
        <v>2368</v>
      </c>
      <c r="B423" t="s">
        <v>16</v>
      </c>
      <c r="C423" t="s">
        <v>3074</v>
      </c>
      <c r="D423" t="s">
        <v>3075</v>
      </c>
      <c r="E423" t="s">
        <v>3076</v>
      </c>
      <c r="F423" t="s">
        <v>2507</v>
      </c>
      <c r="G423" t="s">
        <v>28</v>
      </c>
      <c r="H423" t="s">
        <v>28</v>
      </c>
      <c r="I423" t="s">
        <v>1023</v>
      </c>
    </row>
    <row r="424" spans="1:9" ht="11.25" customHeight="1" x14ac:dyDescent="0.15">
      <c r="A424" t="s">
        <v>2368</v>
      </c>
      <c r="B424" t="s">
        <v>16</v>
      </c>
      <c r="C424" t="s">
        <v>2743</v>
      </c>
      <c r="D424" t="s">
        <v>2744</v>
      </c>
      <c r="E424" t="s">
        <v>2745</v>
      </c>
      <c r="F424" t="s">
        <v>2572</v>
      </c>
      <c r="G424" t="s">
        <v>28</v>
      </c>
      <c r="H424" t="s">
        <v>28</v>
      </c>
      <c r="I424" t="s">
        <v>1023</v>
      </c>
    </row>
    <row r="425" spans="1:9" ht="11.25" customHeight="1" x14ac:dyDescent="0.15">
      <c r="A425" t="s">
        <v>2368</v>
      </c>
      <c r="B425" t="s">
        <v>16</v>
      </c>
      <c r="C425" t="s">
        <v>2746</v>
      </c>
      <c r="D425" t="s">
        <v>2747</v>
      </c>
      <c r="E425" t="s">
        <v>2748</v>
      </c>
      <c r="F425" t="s">
        <v>2749</v>
      </c>
      <c r="G425" t="s">
        <v>2750</v>
      </c>
      <c r="H425" t="s">
        <v>28</v>
      </c>
      <c r="I425" t="s">
        <v>1023</v>
      </c>
    </row>
    <row r="426" spans="1:9" ht="11.25" customHeight="1" x14ac:dyDescent="0.15">
      <c r="A426" t="s">
        <v>2368</v>
      </c>
      <c r="B426" t="s">
        <v>16</v>
      </c>
      <c r="C426" t="s">
        <v>2751</v>
      </c>
      <c r="D426" t="s">
        <v>2752</v>
      </c>
      <c r="E426" t="s">
        <v>2753</v>
      </c>
      <c r="F426" t="s">
        <v>2572</v>
      </c>
      <c r="G426" t="s">
        <v>28</v>
      </c>
      <c r="H426" t="s">
        <v>28</v>
      </c>
      <c r="I426" t="s">
        <v>1023</v>
      </c>
    </row>
    <row r="427" spans="1:9" ht="11.25" customHeight="1" x14ac:dyDescent="0.15">
      <c r="A427" t="s">
        <v>2368</v>
      </c>
      <c r="B427" t="s">
        <v>16</v>
      </c>
      <c r="C427" t="s">
        <v>2757</v>
      </c>
      <c r="D427" t="s">
        <v>2758</v>
      </c>
      <c r="E427" t="s">
        <v>2759</v>
      </c>
      <c r="F427" t="s">
        <v>2507</v>
      </c>
      <c r="G427" t="s">
        <v>28</v>
      </c>
      <c r="H427" t="s">
        <v>28</v>
      </c>
      <c r="I427" t="s">
        <v>1023</v>
      </c>
    </row>
    <row r="428" spans="1:9" ht="11.25" customHeight="1" x14ac:dyDescent="0.15">
      <c r="A428" t="s">
        <v>2368</v>
      </c>
      <c r="B428" t="s">
        <v>16</v>
      </c>
      <c r="C428" t="s">
        <v>3077</v>
      </c>
      <c r="D428" t="s">
        <v>3078</v>
      </c>
      <c r="E428" t="s">
        <v>3079</v>
      </c>
      <c r="F428" t="s">
        <v>2889</v>
      </c>
      <c r="G428" t="s">
        <v>28</v>
      </c>
      <c r="H428" t="s">
        <v>28</v>
      </c>
      <c r="I428" t="s">
        <v>1023</v>
      </c>
    </row>
    <row r="429" spans="1:9" ht="11.25" customHeight="1" x14ac:dyDescent="0.15">
      <c r="A429" t="s">
        <v>2368</v>
      </c>
      <c r="B429" t="s">
        <v>16</v>
      </c>
      <c r="C429" t="s">
        <v>3080</v>
      </c>
      <c r="D429" t="s">
        <v>3081</v>
      </c>
      <c r="E429" t="s">
        <v>3082</v>
      </c>
      <c r="F429" t="s">
        <v>2889</v>
      </c>
      <c r="G429" t="s">
        <v>28</v>
      </c>
      <c r="H429" t="s">
        <v>28</v>
      </c>
      <c r="I429" t="s">
        <v>1023</v>
      </c>
    </row>
    <row r="430" spans="1:9" ht="11.25" customHeight="1" x14ac:dyDescent="0.15">
      <c r="A430" t="s">
        <v>2368</v>
      </c>
      <c r="B430" t="s">
        <v>16</v>
      </c>
      <c r="C430" t="s">
        <v>3083</v>
      </c>
      <c r="D430" t="s">
        <v>3084</v>
      </c>
      <c r="E430" t="s">
        <v>3085</v>
      </c>
      <c r="F430" t="s">
        <v>2400</v>
      </c>
      <c r="G430" t="s">
        <v>28</v>
      </c>
      <c r="H430" t="s">
        <v>28</v>
      </c>
      <c r="I430" t="s">
        <v>1023</v>
      </c>
    </row>
    <row r="431" spans="1:9" ht="11.25" customHeight="1" x14ac:dyDescent="0.15">
      <c r="A431" t="s">
        <v>2368</v>
      </c>
      <c r="B431" t="s">
        <v>16</v>
      </c>
      <c r="C431" t="s">
        <v>2760</v>
      </c>
      <c r="D431" t="s">
        <v>2761</v>
      </c>
      <c r="E431" t="s">
        <v>2762</v>
      </c>
      <c r="F431" t="s">
        <v>2379</v>
      </c>
      <c r="G431" t="s">
        <v>28</v>
      </c>
      <c r="H431" t="s">
        <v>28</v>
      </c>
      <c r="I431" t="s">
        <v>1023</v>
      </c>
    </row>
    <row r="432" spans="1:9" ht="11.25" customHeight="1" x14ac:dyDescent="0.15">
      <c r="A432" t="s">
        <v>2368</v>
      </c>
      <c r="B432" t="s">
        <v>16</v>
      </c>
      <c r="C432" t="s">
        <v>2763</v>
      </c>
      <c r="D432" t="s">
        <v>2764</v>
      </c>
      <c r="E432" t="s">
        <v>2765</v>
      </c>
      <c r="F432" t="s">
        <v>2766</v>
      </c>
      <c r="G432" t="s">
        <v>28</v>
      </c>
      <c r="H432" t="s">
        <v>28</v>
      </c>
      <c r="I432" t="s">
        <v>1023</v>
      </c>
    </row>
    <row r="433" spans="1:9" ht="11.25" customHeight="1" x14ac:dyDescent="0.15">
      <c r="A433" t="s">
        <v>2368</v>
      </c>
      <c r="B433" t="s">
        <v>16</v>
      </c>
      <c r="C433" t="s">
        <v>3095</v>
      </c>
      <c r="D433" t="s">
        <v>3096</v>
      </c>
      <c r="E433" t="s">
        <v>3097</v>
      </c>
      <c r="F433" t="s">
        <v>2949</v>
      </c>
      <c r="G433" t="s">
        <v>3098</v>
      </c>
      <c r="H433" t="s">
        <v>28</v>
      </c>
      <c r="I433" t="s">
        <v>1023</v>
      </c>
    </row>
    <row r="434" spans="1:9" ht="11.25" customHeight="1" x14ac:dyDescent="0.15">
      <c r="A434" t="s">
        <v>2368</v>
      </c>
      <c r="B434" t="s">
        <v>16</v>
      </c>
      <c r="C434" t="s">
        <v>3099</v>
      </c>
      <c r="D434" t="s">
        <v>3100</v>
      </c>
      <c r="E434" t="s">
        <v>3101</v>
      </c>
      <c r="F434" t="s">
        <v>2478</v>
      </c>
      <c r="G434" t="s">
        <v>28</v>
      </c>
      <c r="H434" t="s">
        <v>28</v>
      </c>
      <c r="I434" t="s">
        <v>1023</v>
      </c>
    </row>
    <row r="435" spans="1:9" ht="11.25" customHeight="1" x14ac:dyDescent="0.15">
      <c r="A435" t="s">
        <v>2368</v>
      </c>
      <c r="B435" t="s">
        <v>16</v>
      </c>
      <c r="C435" t="s">
        <v>3102</v>
      </c>
      <c r="D435" t="s">
        <v>3103</v>
      </c>
      <c r="E435" t="s">
        <v>3104</v>
      </c>
      <c r="F435" t="s">
        <v>2499</v>
      </c>
      <c r="G435" t="s">
        <v>28</v>
      </c>
      <c r="H435" t="s">
        <v>28</v>
      </c>
      <c r="I435" t="s">
        <v>1023</v>
      </c>
    </row>
    <row r="436" spans="1:9" ht="11.25" customHeight="1" x14ac:dyDescent="0.15">
      <c r="A436" t="s">
        <v>2368</v>
      </c>
      <c r="B436" t="s">
        <v>16</v>
      </c>
      <c r="C436" t="s">
        <v>3111</v>
      </c>
      <c r="D436" t="s">
        <v>3112</v>
      </c>
      <c r="E436" t="s">
        <v>3113</v>
      </c>
      <c r="F436" t="s">
        <v>2889</v>
      </c>
      <c r="G436" t="s">
        <v>3114</v>
      </c>
      <c r="H436" t="s">
        <v>28</v>
      </c>
      <c r="I436" t="s">
        <v>1023</v>
      </c>
    </row>
    <row r="437" spans="1:9" ht="11.25" customHeight="1" x14ac:dyDescent="0.15">
      <c r="A437" t="s">
        <v>2368</v>
      </c>
      <c r="B437" t="s">
        <v>16</v>
      </c>
      <c r="C437" t="s">
        <v>3115</v>
      </c>
      <c r="D437" t="s">
        <v>3116</v>
      </c>
      <c r="E437" t="s">
        <v>3117</v>
      </c>
      <c r="F437" t="s">
        <v>2433</v>
      </c>
      <c r="G437" t="s">
        <v>28</v>
      </c>
      <c r="H437" t="s">
        <v>28</v>
      </c>
      <c r="I437" t="s">
        <v>1023</v>
      </c>
    </row>
    <row r="438" spans="1:9" ht="11.25" customHeight="1" x14ac:dyDescent="0.15">
      <c r="A438" t="s">
        <v>2368</v>
      </c>
      <c r="B438" t="s">
        <v>16</v>
      </c>
      <c r="C438" t="s">
        <v>2793</v>
      </c>
      <c r="D438" t="s">
        <v>2794</v>
      </c>
      <c r="E438" t="s">
        <v>2795</v>
      </c>
      <c r="F438" t="s">
        <v>2400</v>
      </c>
      <c r="G438" t="s">
        <v>28</v>
      </c>
      <c r="H438" t="s">
        <v>28</v>
      </c>
      <c r="I438" t="s">
        <v>1023</v>
      </c>
    </row>
    <row r="439" spans="1:9" ht="11.25" customHeight="1" x14ac:dyDescent="0.15">
      <c r="A439" t="s">
        <v>2368</v>
      </c>
      <c r="B439" t="s">
        <v>16</v>
      </c>
      <c r="C439" t="s">
        <v>28</v>
      </c>
      <c r="D439" t="s">
        <v>2369</v>
      </c>
      <c r="E439" t="s">
        <v>2370</v>
      </c>
      <c r="F439" t="s">
        <v>2371</v>
      </c>
      <c r="G439" t="s">
        <v>28</v>
      </c>
      <c r="H439" t="s">
        <v>28</v>
      </c>
      <c r="I439" t="s">
        <v>1740</v>
      </c>
    </row>
    <row r="440" spans="1:9" ht="11.25" customHeight="1" x14ac:dyDescent="0.15">
      <c r="A440" t="s">
        <v>2368</v>
      </c>
      <c r="B440" t="s">
        <v>16</v>
      </c>
      <c r="C440" t="s">
        <v>3146</v>
      </c>
      <c r="D440" t="s">
        <v>3147</v>
      </c>
      <c r="E440" t="s">
        <v>3148</v>
      </c>
      <c r="F440" t="s">
        <v>692</v>
      </c>
      <c r="G440" t="s">
        <v>3149</v>
      </c>
      <c r="H440" t="s">
        <v>28</v>
      </c>
      <c r="I440" t="s">
        <v>1740</v>
      </c>
    </row>
    <row r="441" spans="1:9" ht="11.25" customHeight="1" x14ac:dyDescent="0.15">
      <c r="A441" t="s">
        <v>2368</v>
      </c>
      <c r="B441" t="s">
        <v>16</v>
      </c>
      <c r="C441" t="s">
        <v>2514</v>
      </c>
      <c r="D441" t="s">
        <v>2515</v>
      </c>
      <c r="E441" t="s">
        <v>2516</v>
      </c>
      <c r="F441" t="s">
        <v>54</v>
      </c>
      <c r="G441" t="s">
        <v>28</v>
      </c>
      <c r="H441" t="s">
        <v>28</v>
      </c>
      <c r="I441" t="s">
        <v>1740</v>
      </c>
    </row>
    <row r="442" spans="1:9" ht="11.25" customHeight="1" x14ac:dyDescent="0.15">
      <c r="A442" t="s">
        <v>2368</v>
      </c>
      <c r="B442" t="s">
        <v>16</v>
      </c>
      <c r="C442" t="s">
        <v>2863</v>
      </c>
      <c r="D442" t="s">
        <v>2864</v>
      </c>
      <c r="E442" t="s">
        <v>2865</v>
      </c>
      <c r="F442" t="s">
        <v>2601</v>
      </c>
      <c r="G442" t="s">
        <v>28</v>
      </c>
      <c r="H442" t="s">
        <v>28</v>
      </c>
      <c r="I442" t="s">
        <v>1740</v>
      </c>
    </row>
    <row r="443" spans="1:9" ht="11.25" customHeight="1" x14ac:dyDescent="0.15">
      <c r="A443" t="s">
        <v>2368</v>
      </c>
      <c r="B443" t="s">
        <v>16</v>
      </c>
      <c r="C443" t="s">
        <v>3150</v>
      </c>
      <c r="D443" t="s">
        <v>3151</v>
      </c>
      <c r="E443" t="s">
        <v>3152</v>
      </c>
      <c r="F443" t="s">
        <v>2614</v>
      </c>
      <c r="G443" t="s">
        <v>3153</v>
      </c>
      <c r="H443" t="s">
        <v>28</v>
      </c>
      <c r="I443" t="s">
        <v>1740</v>
      </c>
    </row>
    <row r="444" spans="1:9" ht="11.25" customHeight="1" x14ac:dyDescent="0.15">
      <c r="A444" t="s">
        <v>2368</v>
      </c>
      <c r="B444" t="s">
        <v>16</v>
      </c>
      <c r="C444" t="s">
        <v>2525</v>
      </c>
      <c r="D444" t="s">
        <v>2526</v>
      </c>
      <c r="E444" t="s">
        <v>2527</v>
      </c>
      <c r="F444" t="s">
        <v>2400</v>
      </c>
      <c r="G444" t="s">
        <v>28</v>
      </c>
      <c r="H444" t="s">
        <v>28</v>
      </c>
      <c r="I444" t="s">
        <v>1740</v>
      </c>
    </row>
    <row r="445" spans="1:9" ht="11.25" customHeight="1" x14ac:dyDescent="0.15">
      <c r="A445" t="s">
        <v>2368</v>
      </c>
      <c r="B445" t="s">
        <v>16</v>
      </c>
      <c r="C445" t="s">
        <v>3154</v>
      </c>
      <c r="D445" t="s">
        <v>3155</v>
      </c>
      <c r="E445" t="s">
        <v>3156</v>
      </c>
      <c r="F445" t="s">
        <v>2499</v>
      </c>
      <c r="G445" t="s">
        <v>28</v>
      </c>
      <c r="H445" t="s">
        <v>28</v>
      </c>
      <c r="I445" t="s">
        <v>1740</v>
      </c>
    </row>
    <row r="446" spans="1:9" ht="11.25" customHeight="1" x14ac:dyDescent="0.15">
      <c r="A446" t="s">
        <v>2368</v>
      </c>
      <c r="B446" t="s">
        <v>16</v>
      </c>
      <c r="C446" t="s">
        <v>2532</v>
      </c>
      <c r="D446" t="s">
        <v>2533</v>
      </c>
      <c r="E446" t="s">
        <v>2534</v>
      </c>
      <c r="F446" t="s">
        <v>2408</v>
      </c>
      <c r="G446" t="s">
        <v>28</v>
      </c>
      <c r="H446" t="s">
        <v>28</v>
      </c>
      <c r="I446" t="s">
        <v>1740</v>
      </c>
    </row>
    <row r="447" spans="1:9" ht="11.25" customHeight="1" x14ac:dyDescent="0.15">
      <c r="A447" t="s">
        <v>2368</v>
      </c>
      <c r="B447" t="s">
        <v>16</v>
      </c>
      <c r="C447" t="s">
        <v>2535</v>
      </c>
      <c r="D447" t="s">
        <v>2536</v>
      </c>
      <c r="E447" t="s">
        <v>2537</v>
      </c>
      <c r="F447" t="s">
        <v>2408</v>
      </c>
      <c r="G447" t="s">
        <v>28</v>
      </c>
      <c r="H447" t="s">
        <v>28</v>
      </c>
      <c r="I447" t="s">
        <v>1740</v>
      </c>
    </row>
    <row r="448" spans="1:9" ht="11.25" customHeight="1" x14ac:dyDescent="0.15">
      <c r="A448" t="s">
        <v>2368</v>
      </c>
      <c r="B448" t="s">
        <v>16</v>
      </c>
      <c r="C448" t="s">
        <v>3157</v>
      </c>
      <c r="D448" t="s">
        <v>3158</v>
      </c>
      <c r="E448" t="s">
        <v>3159</v>
      </c>
      <c r="F448" t="s">
        <v>2541</v>
      </c>
      <c r="G448" t="s">
        <v>3160</v>
      </c>
      <c r="H448" t="s">
        <v>28</v>
      </c>
      <c r="I448" t="s">
        <v>1740</v>
      </c>
    </row>
    <row r="449" spans="1:9" ht="11.25" customHeight="1" x14ac:dyDescent="0.15">
      <c r="A449" t="s">
        <v>2368</v>
      </c>
      <c r="B449" t="s">
        <v>16</v>
      </c>
      <c r="C449" t="s">
        <v>3161</v>
      </c>
      <c r="D449" t="s">
        <v>3162</v>
      </c>
      <c r="E449" t="s">
        <v>3163</v>
      </c>
      <c r="F449" t="s">
        <v>2524</v>
      </c>
      <c r="G449" t="s">
        <v>28</v>
      </c>
      <c r="H449" t="s">
        <v>28</v>
      </c>
      <c r="I449" t="s">
        <v>1740</v>
      </c>
    </row>
    <row r="450" spans="1:9" ht="11.25" customHeight="1" x14ac:dyDescent="0.15">
      <c r="A450" t="s">
        <v>2368</v>
      </c>
      <c r="B450" t="s">
        <v>16</v>
      </c>
      <c r="C450" t="s">
        <v>3164</v>
      </c>
      <c r="D450" t="s">
        <v>3165</v>
      </c>
      <c r="E450" t="s">
        <v>3166</v>
      </c>
      <c r="F450" t="s">
        <v>2412</v>
      </c>
      <c r="G450" t="s">
        <v>28</v>
      </c>
      <c r="H450" t="s">
        <v>28</v>
      </c>
      <c r="I450" t="s">
        <v>1740</v>
      </c>
    </row>
    <row r="451" spans="1:9" ht="11.25" customHeight="1" x14ac:dyDescent="0.15">
      <c r="A451" t="s">
        <v>2368</v>
      </c>
      <c r="B451" t="s">
        <v>16</v>
      </c>
      <c r="C451" t="s">
        <v>3167</v>
      </c>
      <c r="D451" t="s">
        <v>3168</v>
      </c>
      <c r="E451" t="s">
        <v>3169</v>
      </c>
      <c r="F451" t="s">
        <v>2371</v>
      </c>
      <c r="G451" t="s">
        <v>3170</v>
      </c>
      <c r="H451" t="s">
        <v>28</v>
      </c>
      <c r="I451" t="s">
        <v>1740</v>
      </c>
    </row>
    <row r="452" spans="1:9" ht="11.25" customHeight="1" x14ac:dyDescent="0.15">
      <c r="A452" t="s">
        <v>2368</v>
      </c>
      <c r="B452" t="s">
        <v>16</v>
      </c>
      <c r="C452" t="s">
        <v>3171</v>
      </c>
      <c r="D452" t="s">
        <v>3172</v>
      </c>
      <c r="E452" t="s">
        <v>3173</v>
      </c>
      <c r="F452" t="s">
        <v>2565</v>
      </c>
      <c r="G452" t="s">
        <v>3174</v>
      </c>
      <c r="H452" t="s">
        <v>28</v>
      </c>
      <c r="I452" t="s">
        <v>1740</v>
      </c>
    </row>
    <row r="453" spans="1:9" ht="11.25" customHeight="1" x14ac:dyDescent="0.15">
      <c r="A453" t="s">
        <v>2368</v>
      </c>
      <c r="B453" t="s">
        <v>16</v>
      </c>
      <c r="C453" t="s">
        <v>3175</v>
      </c>
      <c r="D453" t="s">
        <v>3176</v>
      </c>
      <c r="E453" t="s">
        <v>3177</v>
      </c>
      <c r="F453" t="s">
        <v>2614</v>
      </c>
      <c r="G453" t="s">
        <v>3178</v>
      </c>
      <c r="H453" t="s">
        <v>28</v>
      </c>
      <c r="I453" t="s">
        <v>1740</v>
      </c>
    </row>
    <row r="454" spans="1:9" ht="11.25" customHeight="1" x14ac:dyDescent="0.15">
      <c r="A454" t="s">
        <v>2368</v>
      </c>
      <c r="B454" t="s">
        <v>16</v>
      </c>
      <c r="C454" t="s">
        <v>3179</v>
      </c>
      <c r="D454" t="s">
        <v>3180</v>
      </c>
      <c r="E454" t="s">
        <v>3181</v>
      </c>
      <c r="F454" t="s">
        <v>2642</v>
      </c>
      <c r="G454" t="s">
        <v>3182</v>
      </c>
      <c r="H454" t="s">
        <v>28</v>
      </c>
      <c r="I454" t="s">
        <v>1740</v>
      </c>
    </row>
    <row r="455" spans="1:9" ht="11.25" customHeight="1" x14ac:dyDescent="0.15">
      <c r="A455" t="s">
        <v>2368</v>
      </c>
      <c r="B455" t="s">
        <v>16</v>
      </c>
      <c r="C455" t="s">
        <v>3183</v>
      </c>
      <c r="D455" t="s">
        <v>3184</v>
      </c>
      <c r="E455" t="s">
        <v>3185</v>
      </c>
      <c r="F455" t="s">
        <v>2710</v>
      </c>
      <c r="G455" t="s">
        <v>3186</v>
      </c>
      <c r="H455" t="s">
        <v>28</v>
      </c>
      <c r="I455" t="s">
        <v>1740</v>
      </c>
    </row>
    <row r="456" spans="1:9" ht="11.25" customHeight="1" x14ac:dyDescent="0.15">
      <c r="A456" t="s">
        <v>2368</v>
      </c>
      <c r="B456" t="s">
        <v>16</v>
      </c>
      <c r="C456" t="s">
        <v>3187</v>
      </c>
      <c r="D456" t="s">
        <v>3188</v>
      </c>
      <c r="E456" t="s">
        <v>3189</v>
      </c>
      <c r="F456" t="s">
        <v>2878</v>
      </c>
      <c r="G456" t="s">
        <v>3190</v>
      </c>
      <c r="H456" t="s">
        <v>28</v>
      </c>
      <c r="I456" t="s">
        <v>1740</v>
      </c>
    </row>
    <row r="457" spans="1:9" ht="11.25" customHeight="1" x14ac:dyDescent="0.15">
      <c r="A457" t="s">
        <v>2368</v>
      </c>
      <c r="B457" t="s">
        <v>16</v>
      </c>
      <c r="C457" t="s">
        <v>2980</v>
      </c>
      <c r="D457" t="s">
        <v>2981</v>
      </c>
      <c r="E457" t="s">
        <v>2982</v>
      </c>
      <c r="F457" t="s">
        <v>2601</v>
      </c>
      <c r="G457" t="s">
        <v>28</v>
      </c>
      <c r="H457" t="s">
        <v>28</v>
      </c>
      <c r="I457" t="s">
        <v>1740</v>
      </c>
    </row>
    <row r="458" spans="1:9" ht="11.25" customHeight="1" x14ac:dyDescent="0.15">
      <c r="A458" t="s">
        <v>2368</v>
      </c>
      <c r="B458" t="s">
        <v>16</v>
      </c>
      <c r="C458" t="s">
        <v>3191</v>
      </c>
      <c r="D458" t="s">
        <v>3192</v>
      </c>
      <c r="E458" t="s">
        <v>3193</v>
      </c>
      <c r="F458" t="s">
        <v>2792</v>
      </c>
      <c r="G458" t="s">
        <v>3194</v>
      </c>
      <c r="H458" t="s">
        <v>28</v>
      </c>
      <c r="I458" t="s">
        <v>1740</v>
      </c>
    </row>
    <row r="459" spans="1:9" ht="11.25" customHeight="1" x14ac:dyDescent="0.15">
      <c r="A459" t="s">
        <v>2368</v>
      </c>
      <c r="B459" t="s">
        <v>16</v>
      </c>
      <c r="C459" t="s">
        <v>3195</v>
      </c>
      <c r="D459" t="s">
        <v>3196</v>
      </c>
      <c r="E459" t="s">
        <v>3197</v>
      </c>
      <c r="F459" t="s">
        <v>2433</v>
      </c>
      <c r="G459" t="s">
        <v>28</v>
      </c>
      <c r="H459" t="s">
        <v>28</v>
      </c>
      <c r="I459" t="s">
        <v>1740</v>
      </c>
    </row>
    <row r="460" spans="1:9" ht="11.25" customHeight="1" x14ac:dyDescent="0.15">
      <c r="A460" t="s">
        <v>2368</v>
      </c>
      <c r="B460" t="s">
        <v>16</v>
      </c>
      <c r="C460" t="s">
        <v>3198</v>
      </c>
      <c r="D460" t="s">
        <v>3199</v>
      </c>
      <c r="E460" t="s">
        <v>3200</v>
      </c>
      <c r="F460" t="s">
        <v>2375</v>
      </c>
      <c r="G460" t="s">
        <v>3201</v>
      </c>
      <c r="H460" t="s">
        <v>28</v>
      </c>
      <c r="I460" t="s">
        <v>1740</v>
      </c>
    </row>
    <row r="461" spans="1:9" ht="11.25" customHeight="1" x14ac:dyDescent="0.15">
      <c r="A461" t="s">
        <v>2368</v>
      </c>
      <c r="B461" t="s">
        <v>16</v>
      </c>
      <c r="C461" t="s">
        <v>3202</v>
      </c>
      <c r="D461" t="s">
        <v>3203</v>
      </c>
      <c r="E461" t="s">
        <v>3204</v>
      </c>
      <c r="F461" t="s">
        <v>2689</v>
      </c>
      <c r="G461" t="s">
        <v>28</v>
      </c>
      <c r="H461" t="s">
        <v>28</v>
      </c>
      <c r="I461" t="s">
        <v>1740</v>
      </c>
    </row>
    <row r="462" spans="1:9" ht="11.25" customHeight="1" x14ac:dyDescent="0.15">
      <c r="A462" t="s">
        <v>2368</v>
      </c>
      <c r="B462" t="s">
        <v>16</v>
      </c>
      <c r="C462" t="s">
        <v>3205</v>
      </c>
      <c r="D462" t="s">
        <v>3206</v>
      </c>
      <c r="E462" t="s">
        <v>3207</v>
      </c>
      <c r="F462" t="s">
        <v>2524</v>
      </c>
      <c r="G462" t="s">
        <v>3208</v>
      </c>
      <c r="H462" t="s">
        <v>28</v>
      </c>
      <c r="I462" t="s">
        <v>1740</v>
      </c>
    </row>
    <row r="463" spans="1:9" ht="11.25" customHeight="1" x14ac:dyDescent="0.15">
      <c r="A463" t="s">
        <v>2368</v>
      </c>
      <c r="B463" t="s">
        <v>16</v>
      </c>
      <c r="C463" t="s">
        <v>3209</v>
      </c>
      <c r="D463" t="s">
        <v>3210</v>
      </c>
      <c r="E463" t="s">
        <v>3211</v>
      </c>
      <c r="F463" t="s">
        <v>2631</v>
      </c>
      <c r="G463" t="s">
        <v>28</v>
      </c>
      <c r="H463" t="s">
        <v>28</v>
      </c>
      <c r="I463" t="s">
        <v>1740</v>
      </c>
    </row>
    <row r="464" spans="1:9" ht="11.25" customHeight="1" x14ac:dyDescent="0.15">
      <c r="A464" t="s">
        <v>2368</v>
      </c>
      <c r="B464" t="s">
        <v>16</v>
      </c>
      <c r="C464" t="s">
        <v>3212</v>
      </c>
      <c r="D464" t="s">
        <v>3213</v>
      </c>
      <c r="E464" t="s">
        <v>3214</v>
      </c>
      <c r="F464" t="s">
        <v>2375</v>
      </c>
      <c r="G464" t="s">
        <v>3215</v>
      </c>
      <c r="H464" t="s">
        <v>28</v>
      </c>
      <c r="I464" t="s">
        <v>1740</v>
      </c>
    </row>
    <row r="465" spans="1:9" ht="11.25" customHeight="1" x14ac:dyDescent="0.15">
      <c r="A465" t="s">
        <v>2368</v>
      </c>
      <c r="B465" t="s">
        <v>16</v>
      </c>
      <c r="C465" t="s">
        <v>3216</v>
      </c>
      <c r="D465" t="s">
        <v>3217</v>
      </c>
      <c r="E465" t="s">
        <v>3218</v>
      </c>
      <c r="F465" t="s">
        <v>2371</v>
      </c>
      <c r="G465" t="s">
        <v>3219</v>
      </c>
      <c r="H465" t="s">
        <v>28</v>
      </c>
      <c r="I465" t="s">
        <v>1740</v>
      </c>
    </row>
    <row r="466" spans="1:9" ht="11.25" customHeight="1" x14ac:dyDescent="0.15">
      <c r="A466" t="s">
        <v>2368</v>
      </c>
      <c r="B466" t="s">
        <v>16</v>
      </c>
      <c r="C466" t="s">
        <v>3220</v>
      </c>
      <c r="D466" t="s">
        <v>3221</v>
      </c>
      <c r="E466" t="s">
        <v>3222</v>
      </c>
      <c r="F466" t="s">
        <v>2478</v>
      </c>
      <c r="G466" t="s">
        <v>28</v>
      </c>
      <c r="H466" t="s">
        <v>28</v>
      </c>
      <c r="I466" t="s">
        <v>1740</v>
      </c>
    </row>
    <row r="467" spans="1:9" ht="11.25" customHeight="1" x14ac:dyDescent="0.15">
      <c r="A467" t="s">
        <v>2368</v>
      </c>
      <c r="B467" t="s">
        <v>16</v>
      </c>
      <c r="C467" t="s">
        <v>3223</v>
      </c>
      <c r="D467" t="s">
        <v>3224</v>
      </c>
      <c r="E467" t="s">
        <v>3225</v>
      </c>
      <c r="F467" t="s">
        <v>2433</v>
      </c>
      <c r="G467" t="s">
        <v>28</v>
      </c>
      <c r="H467" t="s">
        <v>28</v>
      </c>
      <c r="I467" t="s">
        <v>1740</v>
      </c>
    </row>
    <row r="468" spans="1:9" ht="11.25" customHeight="1" x14ac:dyDescent="0.15">
      <c r="A468" t="s">
        <v>2368</v>
      </c>
      <c r="B468" t="s">
        <v>16</v>
      </c>
      <c r="C468" t="s">
        <v>3226</v>
      </c>
      <c r="D468" t="s">
        <v>3227</v>
      </c>
      <c r="E468" t="s">
        <v>3228</v>
      </c>
      <c r="F468" t="s">
        <v>2400</v>
      </c>
      <c r="G468" t="s">
        <v>3229</v>
      </c>
      <c r="H468" t="s">
        <v>28</v>
      </c>
      <c r="I468" t="s">
        <v>1740</v>
      </c>
    </row>
    <row r="469" spans="1:9" ht="11.25" customHeight="1" x14ac:dyDescent="0.15">
      <c r="A469" t="s">
        <v>2368</v>
      </c>
      <c r="B469" t="s">
        <v>16</v>
      </c>
      <c r="C469" t="s">
        <v>3025</v>
      </c>
      <c r="D469" t="s">
        <v>3026</v>
      </c>
      <c r="E469" t="s">
        <v>3027</v>
      </c>
      <c r="F469" t="s">
        <v>2551</v>
      </c>
      <c r="G469" t="s">
        <v>28</v>
      </c>
      <c r="H469" t="s">
        <v>28</v>
      </c>
      <c r="I469" t="s">
        <v>1740</v>
      </c>
    </row>
    <row r="470" spans="1:9" ht="11.25" customHeight="1" x14ac:dyDescent="0.15">
      <c r="A470" t="s">
        <v>2368</v>
      </c>
      <c r="B470" t="s">
        <v>16</v>
      </c>
      <c r="C470" t="s">
        <v>3230</v>
      </c>
      <c r="D470" t="s">
        <v>3231</v>
      </c>
      <c r="E470" t="s">
        <v>3232</v>
      </c>
      <c r="F470" t="s">
        <v>2371</v>
      </c>
      <c r="G470" t="s">
        <v>3233</v>
      </c>
      <c r="H470" t="s">
        <v>28</v>
      </c>
      <c r="I470" t="s">
        <v>1740</v>
      </c>
    </row>
    <row r="471" spans="1:9" ht="11.25" customHeight="1" x14ac:dyDescent="0.15">
      <c r="A471" t="s">
        <v>2368</v>
      </c>
      <c r="B471" t="s">
        <v>16</v>
      </c>
      <c r="C471" t="s">
        <v>3234</v>
      </c>
      <c r="D471" t="s">
        <v>3235</v>
      </c>
      <c r="E471" t="s">
        <v>3236</v>
      </c>
      <c r="F471" t="s">
        <v>2572</v>
      </c>
      <c r="G471" t="s">
        <v>3237</v>
      </c>
      <c r="H471" t="s">
        <v>28</v>
      </c>
      <c r="I471" t="s">
        <v>1740</v>
      </c>
    </row>
    <row r="472" spans="1:9" ht="11.25" customHeight="1" x14ac:dyDescent="0.15">
      <c r="A472" t="s">
        <v>2368</v>
      </c>
      <c r="B472" t="s">
        <v>16</v>
      </c>
      <c r="C472" t="s">
        <v>3238</v>
      </c>
      <c r="D472" t="s">
        <v>3239</v>
      </c>
      <c r="E472" t="s">
        <v>3240</v>
      </c>
      <c r="F472" t="s">
        <v>2614</v>
      </c>
      <c r="G472" t="s">
        <v>3241</v>
      </c>
      <c r="H472" t="s">
        <v>28</v>
      </c>
      <c r="I472" t="s">
        <v>1740</v>
      </c>
    </row>
    <row r="473" spans="1:9" ht="11.25" customHeight="1" x14ac:dyDescent="0.15">
      <c r="A473" t="s">
        <v>2368</v>
      </c>
      <c r="B473" t="s">
        <v>16</v>
      </c>
      <c r="C473" t="s">
        <v>3242</v>
      </c>
      <c r="D473" t="s">
        <v>3243</v>
      </c>
      <c r="E473" t="s">
        <v>3244</v>
      </c>
      <c r="F473" t="s">
        <v>2642</v>
      </c>
      <c r="G473" t="s">
        <v>3245</v>
      </c>
      <c r="H473" t="s">
        <v>28</v>
      </c>
      <c r="I473" t="s">
        <v>1740</v>
      </c>
    </row>
    <row r="474" spans="1:9" ht="11.25" customHeight="1" x14ac:dyDescent="0.15">
      <c r="A474" t="s">
        <v>2368</v>
      </c>
      <c r="B474" t="s">
        <v>16</v>
      </c>
      <c r="C474" t="s">
        <v>3246</v>
      </c>
      <c r="D474" t="s">
        <v>3247</v>
      </c>
      <c r="E474" t="s">
        <v>3248</v>
      </c>
      <c r="F474" t="s">
        <v>2507</v>
      </c>
      <c r="G474" t="s">
        <v>3249</v>
      </c>
      <c r="H474" t="s">
        <v>28</v>
      </c>
      <c r="I474" t="s">
        <v>1740</v>
      </c>
    </row>
    <row r="475" spans="1:9" ht="11.25" customHeight="1" x14ac:dyDescent="0.15">
      <c r="A475" t="s">
        <v>2368</v>
      </c>
      <c r="B475" t="s">
        <v>16</v>
      </c>
      <c r="C475" t="s">
        <v>3250</v>
      </c>
      <c r="D475" t="s">
        <v>3251</v>
      </c>
      <c r="E475" t="s">
        <v>3252</v>
      </c>
      <c r="F475" t="s">
        <v>2565</v>
      </c>
      <c r="G475" t="s">
        <v>3253</v>
      </c>
      <c r="H475" t="s">
        <v>28</v>
      </c>
      <c r="I475" t="s">
        <v>1740</v>
      </c>
    </row>
    <row r="476" spans="1:9" ht="11.25" customHeight="1" x14ac:dyDescent="0.15">
      <c r="A476" t="s">
        <v>2368</v>
      </c>
      <c r="B476" t="s">
        <v>16</v>
      </c>
      <c r="C476" t="s">
        <v>3254</v>
      </c>
      <c r="D476" t="s">
        <v>3255</v>
      </c>
      <c r="E476" t="s">
        <v>3256</v>
      </c>
      <c r="F476" t="s">
        <v>2424</v>
      </c>
      <c r="G476" t="s">
        <v>3257</v>
      </c>
      <c r="H476" t="s">
        <v>28</v>
      </c>
      <c r="I476" t="s">
        <v>1740</v>
      </c>
    </row>
    <row r="477" spans="1:9" ht="11.25" customHeight="1" x14ac:dyDescent="0.15">
      <c r="A477" t="s">
        <v>2368</v>
      </c>
      <c r="B477" t="s">
        <v>16</v>
      </c>
      <c r="C477" t="s">
        <v>3258</v>
      </c>
      <c r="D477" t="s">
        <v>3259</v>
      </c>
      <c r="E477" t="s">
        <v>3260</v>
      </c>
      <c r="F477" t="s">
        <v>2642</v>
      </c>
      <c r="G477" t="s">
        <v>28</v>
      </c>
      <c r="H477" t="s">
        <v>28</v>
      </c>
      <c r="I477" t="s">
        <v>1740</v>
      </c>
    </row>
    <row r="478" spans="1:9" ht="11.25" customHeight="1" x14ac:dyDescent="0.15">
      <c r="A478" t="s">
        <v>2368</v>
      </c>
      <c r="B478" t="s">
        <v>16</v>
      </c>
      <c r="C478" t="s">
        <v>3261</v>
      </c>
      <c r="D478" t="s">
        <v>3262</v>
      </c>
      <c r="E478" t="s">
        <v>3263</v>
      </c>
      <c r="F478" t="s">
        <v>2565</v>
      </c>
      <c r="G478" t="s">
        <v>3264</v>
      </c>
      <c r="H478" t="s">
        <v>28</v>
      </c>
      <c r="I478" t="s">
        <v>1740</v>
      </c>
    </row>
    <row r="479" spans="1:9" ht="11.25" customHeight="1" x14ac:dyDescent="0.15">
      <c r="A479" t="s">
        <v>2368</v>
      </c>
      <c r="B479" t="s">
        <v>16</v>
      </c>
      <c r="C479" t="s">
        <v>3265</v>
      </c>
      <c r="D479" t="s">
        <v>3266</v>
      </c>
      <c r="E479" t="s">
        <v>3267</v>
      </c>
      <c r="F479" t="s">
        <v>2412</v>
      </c>
      <c r="G479" t="s">
        <v>3268</v>
      </c>
      <c r="H479" t="s">
        <v>28</v>
      </c>
      <c r="I479" t="s">
        <v>1740</v>
      </c>
    </row>
    <row r="480" spans="1:9" ht="11.25" customHeight="1" x14ac:dyDescent="0.15">
      <c r="A480" t="s">
        <v>2368</v>
      </c>
      <c r="B480" t="s">
        <v>16</v>
      </c>
      <c r="C480" t="s">
        <v>3269</v>
      </c>
      <c r="D480" t="s">
        <v>3270</v>
      </c>
      <c r="E480" t="s">
        <v>3271</v>
      </c>
      <c r="F480" t="s">
        <v>2375</v>
      </c>
      <c r="G480" t="s">
        <v>3272</v>
      </c>
      <c r="H480" t="s">
        <v>28</v>
      </c>
      <c r="I480" t="s">
        <v>1740</v>
      </c>
    </row>
    <row r="481" spans="1:9" ht="11.25" customHeight="1" x14ac:dyDescent="0.15">
      <c r="A481" t="s">
        <v>2368</v>
      </c>
      <c r="B481" t="s">
        <v>16</v>
      </c>
      <c r="C481" t="s">
        <v>3273</v>
      </c>
      <c r="D481" t="s">
        <v>3274</v>
      </c>
      <c r="E481" t="s">
        <v>3275</v>
      </c>
      <c r="F481" t="s">
        <v>2375</v>
      </c>
      <c r="G481" t="s">
        <v>3276</v>
      </c>
      <c r="H481" t="s">
        <v>28</v>
      </c>
      <c r="I481" t="s">
        <v>1740</v>
      </c>
    </row>
    <row r="482" spans="1:9" ht="11.25" customHeight="1" x14ac:dyDescent="0.15">
      <c r="A482" t="s">
        <v>2368</v>
      </c>
      <c r="B482" t="s">
        <v>16</v>
      </c>
      <c r="C482" t="s">
        <v>3277</v>
      </c>
      <c r="D482" t="s">
        <v>3278</v>
      </c>
      <c r="E482" t="s">
        <v>3279</v>
      </c>
      <c r="F482" t="s">
        <v>2499</v>
      </c>
      <c r="G482" t="s">
        <v>3280</v>
      </c>
      <c r="H482" t="s">
        <v>28</v>
      </c>
      <c r="I482" t="s">
        <v>1740</v>
      </c>
    </row>
    <row r="483" spans="1:9" ht="11.25" customHeight="1" x14ac:dyDescent="0.15">
      <c r="A483" t="s">
        <v>2368</v>
      </c>
      <c r="B483" t="s">
        <v>16</v>
      </c>
      <c r="C483" t="s">
        <v>3281</v>
      </c>
      <c r="D483" t="s">
        <v>3282</v>
      </c>
      <c r="E483" t="s">
        <v>3283</v>
      </c>
      <c r="F483" t="s">
        <v>3073</v>
      </c>
      <c r="G483" t="s">
        <v>3284</v>
      </c>
      <c r="H483" t="s">
        <v>28</v>
      </c>
      <c r="I483" t="s">
        <v>1740</v>
      </c>
    </row>
    <row r="484" spans="1:9" ht="11.25" customHeight="1" x14ac:dyDescent="0.15">
      <c r="A484" t="s">
        <v>2368</v>
      </c>
      <c r="B484" t="s">
        <v>16</v>
      </c>
      <c r="C484" t="s">
        <v>3285</v>
      </c>
      <c r="D484" t="s">
        <v>3286</v>
      </c>
      <c r="E484" t="s">
        <v>3287</v>
      </c>
      <c r="F484" t="s">
        <v>2433</v>
      </c>
      <c r="G484" t="s">
        <v>28</v>
      </c>
      <c r="H484" t="s">
        <v>28</v>
      </c>
      <c r="I484" t="s">
        <v>1740</v>
      </c>
    </row>
    <row r="485" spans="1:9" ht="11.25" customHeight="1" x14ac:dyDescent="0.15">
      <c r="A485" t="s">
        <v>2368</v>
      </c>
      <c r="B485" t="s">
        <v>16</v>
      </c>
      <c r="C485" t="s">
        <v>3288</v>
      </c>
      <c r="D485" t="s">
        <v>3289</v>
      </c>
      <c r="E485" t="s">
        <v>3290</v>
      </c>
      <c r="F485" t="s">
        <v>2541</v>
      </c>
      <c r="G485" t="s">
        <v>28</v>
      </c>
      <c r="H485" t="s">
        <v>28</v>
      </c>
      <c r="I485" t="s">
        <v>1740</v>
      </c>
    </row>
    <row r="486" spans="1:9" ht="11.25" customHeight="1" x14ac:dyDescent="0.15">
      <c r="A486" t="s">
        <v>2368</v>
      </c>
      <c r="B486" t="s">
        <v>16</v>
      </c>
      <c r="C486" t="s">
        <v>3291</v>
      </c>
      <c r="D486" t="s">
        <v>3292</v>
      </c>
      <c r="E486" t="s">
        <v>3293</v>
      </c>
      <c r="F486" t="s">
        <v>2375</v>
      </c>
      <c r="G486" t="s">
        <v>28</v>
      </c>
      <c r="H486" t="s">
        <v>28</v>
      </c>
      <c r="I486" t="s">
        <v>1740</v>
      </c>
    </row>
    <row r="487" spans="1:9" ht="11.25" customHeight="1" x14ac:dyDescent="0.15">
      <c r="A487" t="s">
        <v>2368</v>
      </c>
      <c r="B487" t="s">
        <v>16</v>
      </c>
      <c r="C487" t="s">
        <v>3294</v>
      </c>
      <c r="D487" t="s">
        <v>3295</v>
      </c>
      <c r="E487" t="s">
        <v>3296</v>
      </c>
      <c r="F487" t="s">
        <v>2766</v>
      </c>
      <c r="G487" t="s">
        <v>28</v>
      </c>
      <c r="H487" t="s">
        <v>28</v>
      </c>
      <c r="I487" t="s">
        <v>1740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x14ac:dyDescent="0.15"/>
  <sheetData>
    <row r="1" spans="1:7" ht="11.25" customHeight="1" x14ac:dyDescent="0.15">
      <c r="A1" t="s">
        <v>3297</v>
      </c>
      <c r="B1" t="s">
        <v>3298</v>
      </c>
      <c r="C1" t="s">
        <v>3299</v>
      </c>
      <c r="D1" t="s">
        <v>3300</v>
      </c>
      <c r="E1" t="s">
        <v>3301</v>
      </c>
      <c r="F1" t="s">
        <v>3302</v>
      </c>
      <c r="G1" t="s">
        <v>3303</v>
      </c>
    </row>
    <row r="2" spans="1:7" ht="11.25" customHeight="1" x14ac:dyDescent="0.15">
      <c r="A2" t="s">
        <v>16</v>
      </c>
      <c r="B2" t="s">
        <v>102</v>
      </c>
      <c r="C2" t="s">
        <v>103</v>
      </c>
      <c r="D2" t="s">
        <v>102</v>
      </c>
      <c r="E2" t="s">
        <v>103</v>
      </c>
      <c r="F2" t="s">
        <v>3304</v>
      </c>
      <c r="G2" t="s">
        <v>101</v>
      </c>
    </row>
    <row r="3" spans="1:7" ht="11.25" customHeight="1" x14ac:dyDescent="0.15">
      <c r="A3" t="s">
        <v>16</v>
      </c>
      <c r="B3" t="s">
        <v>3305</v>
      </c>
      <c r="C3" t="s">
        <v>3306</v>
      </c>
      <c r="D3" t="s">
        <v>3305</v>
      </c>
      <c r="E3" t="s">
        <v>3306</v>
      </c>
      <c r="F3" t="s">
        <v>3307</v>
      </c>
      <c r="G3" t="s">
        <v>105</v>
      </c>
    </row>
    <row r="4" spans="1:7" ht="11.25" customHeight="1" x14ac:dyDescent="0.15">
      <c r="A4" t="s">
        <v>16</v>
      </c>
      <c r="B4" t="s">
        <v>3308</v>
      </c>
      <c r="C4" t="s">
        <v>3309</v>
      </c>
      <c r="D4" t="s">
        <v>3308</v>
      </c>
      <c r="E4" t="s">
        <v>3309</v>
      </c>
      <c r="F4" t="s">
        <v>3307</v>
      </c>
      <c r="G4" t="s">
        <v>92</v>
      </c>
    </row>
    <row r="5" spans="1:7" ht="11.25" customHeight="1" x14ac:dyDescent="0.15">
      <c r="A5" t="s">
        <v>16</v>
      </c>
      <c r="B5" t="s">
        <v>3310</v>
      </c>
      <c r="C5" t="s">
        <v>3311</v>
      </c>
      <c r="D5" t="s">
        <v>3310</v>
      </c>
      <c r="E5" t="s">
        <v>3311</v>
      </c>
      <c r="F5" t="s">
        <v>3307</v>
      </c>
      <c r="G5" t="s">
        <v>93</v>
      </c>
    </row>
    <row r="6" spans="1:7" ht="11.25" customHeight="1" x14ac:dyDescent="0.15">
      <c r="A6" t="s">
        <v>16</v>
      </c>
      <c r="B6" t="s">
        <v>156</v>
      </c>
      <c r="C6" t="s">
        <v>157</v>
      </c>
      <c r="D6" t="s">
        <v>156</v>
      </c>
      <c r="E6" t="s">
        <v>157</v>
      </c>
      <c r="F6" t="s">
        <v>3307</v>
      </c>
      <c r="G6" t="s">
        <v>120</v>
      </c>
    </row>
    <row r="7" spans="1:7" ht="11.25" customHeight="1" x14ac:dyDescent="0.15">
      <c r="A7" t="s">
        <v>16</v>
      </c>
      <c r="B7" t="s">
        <v>152</v>
      </c>
      <c r="C7" t="s">
        <v>153</v>
      </c>
      <c r="D7" t="s">
        <v>152</v>
      </c>
      <c r="E7" t="s">
        <v>153</v>
      </c>
      <c r="F7" t="s">
        <v>3307</v>
      </c>
      <c r="G7" t="s">
        <v>94</v>
      </c>
    </row>
    <row r="8" spans="1:7" ht="11.25" customHeight="1" x14ac:dyDescent="0.15">
      <c r="A8" t="s">
        <v>16</v>
      </c>
      <c r="B8" t="s">
        <v>3312</v>
      </c>
      <c r="C8" t="s">
        <v>3313</v>
      </c>
      <c r="D8" t="s">
        <v>3312</v>
      </c>
      <c r="E8" t="s">
        <v>3313</v>
      </c>
      <c r="F8" t="s">
        <v>3307</v>
      </c>
      <c r="G8" t="s">
        <v>95</v>
      </c>
    </row>
    <row r="9" spans="1:7" ht="11.25" customHeight="1" x14ac:dyDescent="0.15">
      <c r="A9" t="s">
        <v>16</v>
      </c>
      <c r="B9" t="s">
        <v>3314</v>
      </c>
      <c r="C9" t="s">
        <v>3315</v>
      </c>
      <c r="D9" t="s">
        <v>3316</v>
      </c>
      <c r="E9" t="s">
        <v>3317</v>
      </c>
      <c r="F9" t="s">
        <v>3318</v>
      </c>
      <c r="G9" t="s">
        <v>134</v>
      </c>
    </row>
    <row r="10" spans="1:7" ht="11.25" customHeight="1" x14ac:dyDescent="0.15">
      <c r="A10" t="s">
        <v>16</v>
      </c>
      <c r="B10" t="s">
        <v>3314</v>
      </c>
      <c r="C10" t="s">
        <v>3315</v>
      </c>
      <c r="D10" t="s">
        <v>3314</v>
      </c>
      <c r="E10" t="s">
        <v>3315</v>
      </c>
      <c r="F10" t="s">
        <v>3319</v>
      </c>
      <c r="G10" t="s">
        <v>139</v>
      </c>
    </row>
    <row r="11" spans="1:7" ht="11.25" customHeight="1" x14ac:dyDescent="0.15">
      <c r="A11" t="s">
        <v>16</v>
      </c>
      <c r="B11" t="s">
        <v>3314</v>
      </c>
      <c r="C11" t="s">
        <v>3315</v>
      </c>
      <c r="D11" t="s">
        <v>3320</v>
      </c>
      <c r="E11" t="s">
        <v>3321</v>
      </c>
      <c r="F11" t="s">
        <v>3318</v>
      </c>
      <c r="G11" t="s">
        <v>145</v>
      </c>
    </row>
    <row r="12" spans="1:7" ht="11.25" customHeight="1" x14ac:dyDescent="0.15">
      <c r="A12" t="s">
        <v>16</v>
      </c>
      <c r="B12" t="s">
        <v>3314</v>
      </c>
      <c r="C12" t="s">
        <v>3315</v>
      </c>
      <c r="D12" t="s">
        <v>3322</v>
      </c>
      <c r="E12" t="s">
        <v>3323</v>
      </c>
      <c r="F12" t="s">
        <v>3324</v>
      </c>
      <c r="G12" t="s">
        <v>150</v>
      </c>
    </row>
    <row r="13" spans="1:7" ht="11.25" customHeight="1" x14ac:dyDescent="0.15">
      <c r="A13" t="s">
        <v>16</v>
      </c>
      <c r="B13" t="s">
        <v>3314</v>
      </c>
      <c r="C13" t="s">
        <v>3315</v>
      </c>
      <c r="D13" t="s">
        <v>3325</v>
      </c>
      <c r="E13" t="s">
        <v>3326</v>
      </c>
      <c r="F13" t="s">
        <v>3318</v>
      </c>
      <c r="G13" t="s">
        <v>154</v>
      </c>
    </row>
    <row r="14" spans="1:7" ht="11.25" customHeight="1" x14ac:dyDescent="0.15">
      <c r="A14" t="s">
        <v>16</v>
      </c>
      <c r="B14" t="s">
        <v>3314</v>
      </c>
      <c r="C14" t="s">
        <v>3315</v>
      </c>
      <c r="D14" t="s">
        <v>3327</v>
      </c>
      <c r="E14" t="s">
        <v>3328</v>
      </c>
      <c r="F14" t="s">
        <v>3318</v>
      </c>
      <c r="G14" t="s">
        <v>158</v>
      </c>
    </row>
    <row r="15" spans="1:7" ht="11.25" customHeight="1" x14ac:dyDescent="0.15">
      <c r="A15" t="s">
        <v>16</v>
      </c>
      <c r="B15" t="s">
        <v>3314</v>
      </c>
      <c r="C15" t="s">
        <v>3315</v>
      </c>
      <c r="D15" t="s">
        <v>3329</v>
      </c>
      <c r="E15" t="s">
        <v>3330</v>
      </c>
      <c r="F15" t="s">
        <v>3318</v>
      </c>
      <c r="G15" t="s">
        <v>204</v>
      </c>
    </row>
    <row r="16" spans="1:7" ht="11.25" customHeight="1" x14ac:dyDescent="0.15">
      <c r="A16" t="s">
        <v>16</v>
      </c>
      <c r="B16" t="s">
        <v>3314</v>
      </c>
      <c r="C16" t="s">
        <v>3315</v>
      </c>
      <c r="D16" t="s">
        <v>3331</v>
      </c>
      <c r="E16" t="s">
        <v>3332</v>
      </c>
      <c r="F16" t="s">
        <v>3318</v>
      </c>
      <c r="G16" t="s">
        <v>1585</v>
      </c>
    </row>
    <row r="17" spans="1:7" ht="11.25" customHeight="1" x14ac:dyDescent="0.15">
      <c r="A17" t="s">
        <v>16</v>
      </c>
      <c r="B17" t="s">
        <v>114</v>
      </c>
      <c r="C17" t="s">
        <v>115</v>
      </c>
      <c r="D17" t="s">
        <v>114</v>
      </c>
      <c r="E17" t="s">
        <v>115</v>
      </c>
      <c r="F17" t="s">
        <v>3304</v>
      </c>
      <c r="G17" t="s">
        <v>113</v>
      </c>
    </row>
    <row r="18" spans="1:7" ht="11.25" customHeight="1" x14ac:dyDescent="0.15">
      <c r="A18" t="s">
        <v>16</v>
      </c>
      <c r="B18" t="s">
        <v>3333</v>
      </c>
      <c r="C18" t="s">
        <v>3334</v>
      </c>
      <c r="D18" t="s">
        <v>3335</v>
      </c>
      <c r="E18" t="s">
        <v>3336</v>
      </c>
      <c r="F18" t="s">
        <v>3318</v>
      </c>
      <c r="G18" t="s">
        <v>1602</v>
      </c>
    </row>
    <row r="19" spans="1:7" ht="11.25" customHeight="1" x14ac:dyDescent="0.15">
      <c r="A19" t="s">
        <v>16</v>
      </c>
      <c r="B19" t="s">
        <v>3333</v>
      </c>
      <c r="C19" t="s">
        <v>3334</v>
      </c>
      <c r="D19" t="s">
        <v>3337</v>
      </c>
      <c r="E19" t="s">
        <v>3338</v>
      </c>
      <c r="F19" t="s">
        <v>3339</v>
      </c>
      <c r="G19" t="s">
        <v>1616</v>
      </c>
    </row>
    <row r="20" spans="1:7" ht="11.25" customHeight="1" x14ac:dyDescent="0.15">
      <c r="A20" t="s">
        <v>16</v>
      </c>
      <c r="B20" t="s">
        <v>3333</v>
      </c>
      <c r="C20" t="s">
        <v>3334</v>
      </c>
      <c r="D20" t="s">
        <v>3333</v>
      </c>
      <c r="E20" t="s">
        <v>3334</v>
      </c>
      <c r="F20" t="s">
        <v>3319</v>
      </c>
      <c r="G20" t="s">
        <v>1628</v>
      </c>
    </row>
    <row r="21" spans="1:7" ht="11.25" customHeight="1" x14ac:dyDescent="0.15">
      <c r="A21" t="s">
        <v>16</v>
      </c>
      <c r="B21" t="s">
        <v>3333</v>
      </c>
      <c r="C21" t="s">
        <v>3334</v>
      </c>
      <c r="D21" t="s">
        <v>3340</v>
      </c>
      <c r="E21" t="s">
        <v>3341</v>
      </c>
      <c r="F21" t="s">
        <v>3339</v>
      </c>
      <c r="G21" t="s">
        <v>1637</v>
      </c>
    </row>
    <row r="22" spans="1:7" ht="11.25" customHeight="1" x14ac:dyDescent="0.15">
      <c r="A22" t="s">
        <v>16</v>
      </c>
      <c r="B22" t="s">
        <v>3333</v>
      </c>
      <c r="C22" t="s">
        <v>3334</v>
      </c>
      <c r="D22" t="s">
        <v>3342</v>
      </c>
      <c r="E22" t="s">
        <v>3343</v>
      </c>
      <c r="F22" t="s">
        <v>3318</v>
      </c>
      <c r="G22" t="s">
        <v>1653</v>
      </c>
    </row>
    <row r="23" spans="1:7" ht="11.25" customHeight="1" x14ac:dyDescent="0.15">
      <c r="A23" t="s">
        <v>16</v>
      </c>
      <c r="B23" t="s">
        <v>3333</v>
      </c>
      <c r="C23" t="s">
        <v>3334</v>
      </c>
      <c r="D23" t="s">
        <v>3344</v>
      </c>
      <c r="E23" t="s">
        <v>3345</v>
      </c>
      <c r="F23" t="s">
        <v>3324</v>
      </c>
      <c r="G23" t="s">
        <v>1660</v>
      </c>
    </row>
    <row r="24" spans="1:7" ht="11.25" customHeight="1" x14ac:dyDescent="0.15">
      <c r="A24" t="s">
        <v>16</v>
      </c>
      <c r="B24" t="s">
        <v>3333</v>
      </c>
      <c r="C24" t="s">
        <v>3334</v>
      </c>
      <c r="D24" t="s">
        <v>3346</v>
      </c>
      <c r="E24" t="s">
        <v>3347</v>
      </c>
      <c r="F24" t="s">
        <v>3318</v>
      </c>
      <c r="G24" t="s">
        <v>1668</v>
      </c>
    </row>
    <row r="25" spans="1:7" ht="11.25" customHeight="1" x14ac:dyDescent="0.15">
      <c r="A25" t="s">
        <v>16</v>
      </c>
      <c r="B25" t="s">
        <v>3333</v>
      </c>
      <c r="C25" t="s">
        <v>3334</v>
      </c>
      <c r="D25" t="s">
        <v>3348</v>
      </c>
      <c r="E25" t="s">
        <v>3349</v>
      </c>
      <c r="F25" t="s">
        <v>3318</v>
      </c>
      <c r="G25" t="s">
        <v>1675</v>
      </c>
    </row>
    <row r="26" spans="1:7" ht="11.25" customHeight="1" x14ac:dyDescent="0.15">
      <c r="A26" t="s">
        <v>16</v>
      </c>
      <c r="B26" t="s">
        <v>3350</v>
      </c>
      <c r="C26" t="s">
        <v>3351</v>
      </c>
      <c r="D26" t="s">
        <v>3350</v>
      </c>
      <c r="E26" t="s">
        <v>3351</v>
      </c>
      <c r="F26" t="s">
        <v>3304</v>
      </c>
      <c r="G26" t="s">
        <v>1679</v>
      </c>
    </row>
    <row r="27" spans="1:7" ht="11.25" customHeight="1" x14ac:dyDescent="0.15">
      <c r="A27" t="s">
        <v>16</v>
      </c>
      <c r="B27" t="s">
        <v>3352</v>
      </c>
      <c r="C27" t="s">
        <v>3353</v>
      </c>
      <c r="D27" t="s">
        <v>3354</v>
      </c>
      <c r="E27" t="s">
        <v>3355</v>
      </c>
      <c r="F27" t="s">
        <v>3339</v>
      </c>
      <c r="G27" t="s">
        <v>1684</v>
      </c>
    </row>
    <row r="28" spans="1:7" ht="11.25" customHeight="1" x14ac:dyDescent="0.15">
      <c r="A28" t="s">
        <v>16</v>
      </c>
      <c r="B28" t="s">
        <v>3352</v>
      </c>
      <c r="C28" t="s">
        <v>3353</v>
      </c>
      <c r="D28" t="s">
        <v>3356</v>
      </c>
      <c r="E28" t="s">
        <v>3357</v>
      </c>
      <c r="F28" t="s">
        <v>3318</v>
      </c>
      <c r="G28" t="s">
        <v>1692</v>
      </c>
    </row>
    <row r="29" spans="1:7" ht="11.25" customHeight="1" x14ac:dyDescent="0.15">
      <c r="A29" t="s">
        <v>16</v>
      </c>
      <c r="B29" t="s">
        <v>3352</v>
      </c>
      <c r="C29" t="s">
        <v>3353</v>
      </c>
      <c r="D29" t="s">
        <v>3358</v>
      </c>
      <c r="E29" t="s">
        <v>3359</v>
      </c>
      <c r="F29" t="s">
        <v>3318</v>
      </c>
      <c r="G29" t="s">
        <v>1694</v>
      </c>
    </row>
    <row r="30" spans="1:7" ht="11.25" customHeight="1" x14ac:dyDescent="0.15">
      <c r="A30" t="s">
        <v>16</v>
      </c>
      <c r="B30" t="s">
        <v>3352</v>
      </c>
      <c r="C30" t="s">
        <v>3353</v>
      </c>
      <c r="D30" t="s">
        <v>3360</v>
      </c>
      <c r="E30" t="s">
        <v>3361</v>
      </c>
      <c r="F30" t="s">
        <v>3318</v>
      </c>
      <c r="G30" t="s">
        <v>1697</v>
      </c>
    </row>
    <row r="31" spans="1:7" ht="11.25" customHeight="1" x14ac:dyDescent="0.15">
      <c r="A31" t="s">
        <v>16</v>
      </c>
      <c r="B31" t="s">
        <v>3352</v>
      </c>
      <c r="C31" t="s">
        <v>3353</v>
      </c>
      <c r="D31" t="s">
        <v>3362</v>
      </c>
      <c r="E31" t="s">
        <v>3363</v>
      </c>
      <c r="F31" t="s">
        <v>3318</v>
      </c>
      <c r="G31" t="s">
        <v>1702</v>
      </c>
    </row>
    <row r="32" spans="1:7" ht="11.25" customHeight="1" x14ac:dyDescent="0.15">
      <c r="A32" t="s">
        <v>16</v>
      </c>
      <c r="B32" t="s">
        <v>3352</v>
      </c>
      <c r="C32" t="s">
        <v>3353</v>
      </c>
      <c r="D32" t="s">
        <v>3352</v>
      </c>
      <c r="E32" t="s">
        <v>3353</v>
      </c>
      <c r="F32" t="s">
        <v>3319</v>
      </c>
      <c r="G32" t="s">
        <v>1704</v>
      </c>
    </row>
    <row r="33" spans="1:7" ht="11.25" customHeight="1" x14ac:dyDescent="0.15">
      <c r="A33" t="s">
        <v>16</v>
      </c>
      <c r="B33" t="s">
        <v>3352</v>
      </c>
      <c r="C33" t="s">
        <v>3353</v>
      </c>
      <c r="D33" t="s">
        <v>3364</v>
      </c>
      <c r="E33" t="s">
        <v>3365</v>
      </c>
      <c r="F33" t="s">
        <v>3318</v>
      </c>
      <c r="G33" t="s">
        <v>1706</v>
      </c>
    </row>
    <row r="34" spans="1:7" ht="11.25" customHeight="1" x14ac:dyDescent="0.15">
      <c r="A34" t="s">
        <v>16</v>
      </c>
      <c r="B34" t="s">
        <v>3352</v>
      </c>
      <c r="C34" t="s">
        <v>3353</v>
      </c>
      <c r="D34" t="s">
        <v>3366</v>
      </c>
      <c r="E34" t="s">
        <v>3367</v>
      </c>
      <c r="F34" t="s">
        <v>3318</v>
      </c>
      <c r="G34" t="s">
        <v>1708</v>
      </c>
    </row>
    <row r="35" spans="1:7" ht="11.25" customHeight="1" x14ac:dyDescent="0.15">
      <c r="A35" t="s">
        <v>16</v>
      </c>
      <c r="B35" t="s">
        <v>3352</v>
      </c>
      <c r="C35" t="s">
        <v>3353</v>
      </c>
      <c r="D35" t="s">
        <v>3368</v>
      </c>
      <c r="E35" t="s">
        <v>3369</v>
      </c>
      <c r="F35" t="s">
        <v>3318</v>
      </c>
      <c r="G35" t="s">
        <v>1713</v>
      </c>
    </row>
    <row r="36" spans="1:7" ht="11.25" customHeight="1" x14ac:dyDescent="0.15">
      <c r="A36" t="s">
        <v>16</v>
      </c>
      <c r="B36" t="s">
        <v>3352</v>
      </c>
      <c r="C36" t="s">
        <v>3353</v>
      </c>
      <c r="D36" t="s">
        <v>3370</v>
      </c>
      <c r="E36" t="s">
        <v>3371</v>
      </c>
      <c r="F36" t="s">
        <v>3318</v>
      </c>
      <c r="G36" t="s">
        <v>1718</v>
      </c>
    </row>
    <row r="37" spans="1:7" ht="11.25" customHeight="1" x14ac:dyDescent="0.15">
      <c r="A37" t="s">
        <v>16</v>
      </c>
      <c r="B37" t="s">
        <v>3352</v>
      </c>
      <c r="C37" t="s">
        <v>3353</v>
      </c>
      <c r="D37" t="s">
        <v>3372</v>
      </c>
      <c r="E37" t="s">
        <v>3373</v>
      </c>
      <c r="F37" t="s">
        <v>3318</v>
      </c>
      <c r="G37" t="s">
        <v>1722</v>
      </c>
    </row>
    <row r="38" spans="1:7" ht="11.25" customHeight="1" x14ac:dyDescent="0.15">
      <c r="A38" t="s">
        <v>16</v>
      </c>
      <c r="B38" t="s">
        <v>3374</v>
      </c>
      <c r="C38" t="s">
        <v>3375</v>
      </c>
      <c r="D38" t="s">
        <v>3374</v>
      </c>
      <c r="E38" t="s">
        <v>3375</v>
      </c>
      <c r="F38" t="s">
        <v>3304</v>
      </c>
      <c r="G38" t="s">
        <v>1730</v>
      </c>
    </row>
    <row r="39" spans="1:7" ht="11.25" customHeight="1" x14ac:dyDescent="0.15">
      <c r="A39" t="s">
        <v>16</v>
      </c>
      <c r="B39" t="s">
        <v>3376</v>
      </c>
      <c r="C39" t="s">
        <v>3377</v>
      </c>
      <c r="D39" t="s">
        <v>3376</v>
      </c>
      <c r="E39" t="s">
        <v>3377</v>
      </c>
      <c r="F39" t="s">
        <v>3307</v>
      </c>
      <c r="G39" t="s">
        <v>1736</v>
      </c>
    </row>
    <row r="40" spans="1:7" ht="11.25" customHeight="1" x14ac:dyDescent="0.15">
      <c r="A40" t="s">
        <v>16</v>
      </c>
      <c r="B40" t="s">
        <v>109</v>
      </c>
      <c r="C40" t="s">
        <v>3378</v>
      </c>
      <c r="D40" t="s">
        <v>3379</v>
      </c>
      <c r="E40" t="s">
        <v>3380</v>
      </c>
      <c r="F40" t="s">
        <v>3318</v>
      </c>
      <c r="G40" t="s">
        <v>1741</v>
      </c>
    </row>
    <row r="41" spans="1:7" ht="11.25" customHeight="1" x14ac:dyDescent="0.15">
      <c r="A41" t="s">
        <v>16</v>
      </c>
      <c r="B41" t="s">
        <v>109</v>
      </c>
      <c r="C41" t="s">
        <v>3378</v>
      </c>
      <c r="D41" t="s">
        <v>3381</v>
      </c>
      <c r="E41" t="s">
        <v>3382</v>
      </c>
      <c r="F41" t="s">
        <v>3318</v>
      </c>
      <c r="G41" t="s">
        <v>1745</v>
      </c>
    </row>
    <row r="42" spans="1:7" ht="11.25" customHeight="1" x14ac:dyDescent="0.15">
      <c r="A42" t="s">
        <v>16</v>
      </c>
      <c r="B42" t="s">
        <v>109</v>
      </c>
      <c r="C42" t="s">
        <v>3378</v>
      </c>
      <c r="D42" t="s">
        <v>3383</v>
      </c>
      <c r="E42" t="s">
        <v>3384</v>
      </c>
      <c r="F42" t="s">
        <v>3318</v>
      </c>
      <c r="G42" t="s">
        <v>1748</v>
      </c>
    </row>
    <row r="43" spans="1:7" ht="11.25" customHeight="1" x14ac:dyDescent="0.15">
      <c r="A43" t="s">
        <v>16</v>
      </c>
      <c r="B43" t="s">
        <v>109</v>
      </c>
      <c r="C43" t="s">
        <v>3378</v>
      </c>
      <c r="D43" t="s">
        <v>109</v>
      </c>
      <c r="E43" t="s">
        <v>3378</v>
      </c>
      <c r="F43" t="s">
        <v>3319</v>
      </c>
      <c r="G43" t="s">
        <v>1755</v>
      </c>
    </row>
    <row r="44" spans="1:7" ht="11.25" customHeight="1" x14ac:dyDescent="0.15">
      <c r="A44" t="s">
        <v>16</v>
      </c>
      <c r="B44" t="s">
        <v>109</v>
      </c>
      <c r="C44" t="s">
        <v>3378</v>
      </c>
      <c r="D44" t="s">
        <v>3385</v>
      </c>
      <c r="E44" t="s">
        <v>3386</v>
      </c>
      <c r="F44" t="s">
        <v>3318</v>
      </c>
      <c r="G44" t="s">
        <v>1764</v>
      </c>
    </row>
    <row r="45" spans="1:7" ht="11.25" customHeight="1" x14ac:dyDescent="0.15">
      <c r="A45" t="s">
        <v>16</v>
      </c>
      <c r="B45" t="s">
        <v>109</v>
      </c>
      <c r="C45" t="s">
        <v>3378</v>
      </c>
      <c r="D45" t="s">
        <v>110</v>
      </c>
      <c r="E45" t="s">
        <v>111</v>
      </c>
      <c r="F45" t="s">
        <v>3339</v>
      </c>
      <c r="G45" t="s">
        <v>108</v>
      </c>
    </row>
    <row r="46" spans="1:7" ht="11.25" customHeight="1" x14ac:dyDescent="0.15">
      <c r="A46" t="s">
        <v>16</v>
      </c>
      <c r="B46" t="s">
        <v>109</v>
      </c>
      <c r="C46" t="s">
        <v>3378</v>
      </c>
      <c r="D46" t="s">
        <v>3387</v>
      </c>
      <c r="E46" t="s">
        <v>3388</v>
      </c>
      <c r="F46" t="s">
        <v>3318</v>
      </c>
      <c r="G46" t="s">
        <v>1772</v>
      </c>
    </row>
    <row r="47" spans="1:7" ht="11.25" customHeight="1" x14ac:dyDescent="0.15">
      <c r="A47" t="s">
        <v>16</v>
      </c>
      <c r="B47" t="s">
        <v>109</v>
      </c>
      <c r="C47" t="s">
        <v>3378</v>
      </c>
      <c r="D47" t="s">
        <v>3389</v>
      </c>
      <c r="E47" t="s">
        <v>3390</v>
      </c>
      <c r="F47" t="s">
        <v>3318</v>
      </c>
      <c r="G47" t="s">
        <v>1778</v>
      </c>
    </row>
    <row r="48" spans="1:7" ht="11.25" customHeight="1" x14ac:dyDescent="0.15">
      <c r="A48" t="s">
        <v>16</v>
      </c>
      <c r="B48" t="s">
        <v>3391</v>
      </c>
      <c r="C48" t="s">
        <v>3392</v>
      </c>
      <c r="D48" t="s">
        <v>3391</v>
      </c>
      <c r="E48" t="s">
        <v>3392</v>
      </c>
      <c r="F48" t="s">
        <v>3319</v>
      </c>
      <c r="G48" t="s">
        <v>1782</v>
      </c>
    </row>
    <row r="49" spans="1:7" ht="11.25" customHeight="1" x14ac:dyDescent="0.15">
      <c r="A49" t="s">
        <v>16</v>
      </c>
      <c r="B49" t="s">
        <v>3391</v>
      </c>
      <c r="C49" t="s">
        <v>3392</v>
      </c>
      <c r="D49" t="s">
        <v>3393</v>
      </c>
      <c r="E49" t="s">
        <v>3394</v>
      </c>
      <c r="F49" t="s">
        <v>3318</v>
      </c>
      <c r="G49" t="s">
        <v>1785</v>
      </c>
    </row>
    <row r="50" spans="1:7" ht="11.25" customHeight="1" x14ac:dyDescent="0.15">
      <c r="A50" t="s">
        <v>16</v>
      </c>
      <c r="B50" t="s">
        <v>3391</v>
      </c>
      <c r="C50" t="s">
        <v>3392</v>
      </c>
      <c r="D50" t="s">
        <v>3395</v>
      </c>
      <c r="E50" t="s">
        <v>3396</v>
      </c>
      <c r="F50" t="s">
        <v>3318</v>
      </c>
      <c r="G50" t="s">
        <v>1789</v>
      </c>
    </row>
    <row r="51" spans="1:7" ht="11.25" customHeight="1" x14ac:dyDescent="0.15">
      <c r="A51" t="s">
        <v>16</v>
      </c>
      <c r="B51" t="s">
        <v>3391</v>
      </c>
      <c r="C51" t="s">
        <v>3392</v>
      </c>
      <c r="D51" t="s">
        <v>3397</v>
      </c>
      <c r="E51" t="s">
        <v>3398</v>
      </c>
      <c r="F51" t="s">
        <v>3318</v>
      </c>
      <c r="G51" t="s">
        <v>1793</v>
      </c>
    </row>
    <row r="52" spans="1:7" ht="11.25" customHeight="1" x14ac:dyDescent="0.15">
      <c r="A52" t="s">
        <v>16</v>
      </c>
      <c r="B52" t="s">
        <v>3399</v>
      </c>
      <c r="C52" t="s">
        <v>3400</v>
      </c>
      <c r="D52" t="s">
        <v>3399</v>
      </c>
      <c r="E52" t="s">
        <v>3400</v>
      </c>
      <c r="F52" t="s">
        <v>3307</v>
      </c>
      <c r="G52" t="s">
        <v>1797</v>
      </c>
    </row>
    <row r="53" spans="1:7" ht="11.25" customHeight="1" x14ac:dyDescent="0.15">
      <c r="A53" t="s">
        <v>16</v>
      </c>
      <c r="B53" t="s">
        <v>3401</v>
      </c>
      <c r="C53" t="s">
        <v>3402</v>
      </c>
      <c r="D53" t="s">
        <v>3401</v>
      </c>
      <c r="E53" t="s">
        <v>3402</v>
      </c>
      <c r="F53" t="s">
        <v>3304</v>
      </c>
      <c r="G53" t="s">
        <v>1799</v>
      </c>
    </row>
    <row r="54" spans="1:7" ht="11.25" customHeight="1" x14ac:dyDescent="0.15">
      <c r="A54" t="s">
        <v>16</v>
      </c>
      <c r="B54" t="s">
        <v>3403</v>
      </c>
      <c r="C54" t="s">
        <v>3404</v>
      </c>
      <c r="D54" t="s">
        <v>3403</v>
      </c>
      <c r="E54" t="s">
        <v>3404</v>
      </c>
      <c r="F54" t="s">
        <v>3304</v>
      </c>
      <c r="G54" t="s">
        <v>1802</v>
      </c>
    </row>
    <row r="55" spans="1:7" ht="11.25" customHeight="1" x14ac:dyDescent="0.15">
      <c r="A55" t="s">
        <v>16</v>
      </c>
      <c r="B55" t="s">
        <v>3405</v>
      </c>
      <c r="C55" t="s">
        <v>3406</v>
      </c>
      <c r="D55" t="s">
        <v>3405</v>
      </c>
      <c r="E55" t="s">
        <v>3406</v>
      </c>
      <c r="F55" t="s">
        <v>3307</v>
      </c>
      <c r="G55" t="s">
        <v>1807</v>
      </c>
    </row>
    <row r="56" spans="1:7" ht="11.25" customHeight="1" x14ac:dyDescent="0.15">
      <c r="A56" t="s">
        <v>16</v>
      </c>
      <c r="B56" t="s">
        <v>3407</v>
      </c>
      <c r="C56" t="s">
        <v>3408</v>
      </c>
      <c r="D56" t="s">
        <v>3407</v>
      </c>
      <c r="E56" t="s">
        <v>3408</v>
      </c>
      <c r="F56" t="s">
        <v>3304</v>
      </c>
      <c r="G56" t="s">
        <v>1810</v>
      </c>
    </row>
    <row r="57" spans="1:7" ht="11.25" customHeight="1" x14ac:dyDescent="0.15">
      <c r="A57" t="s">
        <v>16</v>
      </c>
      <c r="B57" t="s">
        <v>3409</v>
      </c>
      <c r="C57" t="s">
        <v>3410</v>
      </c>
      <c r="D57" t="s">
        <v>3411</v>
      </c>
      <c r="E57" t="s">
        <v>3412</v>
      </c>
      <c r="F57" t="s">
        <v>3318</v>
      </c>
      <c r="G57" t="s">
        <v>1813</v>
      </c>
    </row>
    <row r="58" spans="1:7" ht="11.25" customHeight="1" x14ac:dyDescent="0.15">
      <c r="A58" t="s">
        <v>16</v>
      </c>
      <c r="B58" t="s">
        <v>3409</v>
      </c>
      <c r="C58" t="s">
        <v>3410</v>
      </c>
      <c r="D58" t="s">
        <v>3413</v>
      </c>
      <c r="E58" t="s">
        <v>3414</v>
      </c>
      <c r="F58" t="s">
        <v>3318</v>
      </c>
      <c r="G58" t="s">
        <v>1816</v>
      </c>
    </row>
    <row r="59" spans="1:7" ht="11.25" customHeight="1" x14ac:dyDescent="0.15">
      <c r="A59" t="s">
        <v>16</v>
      </c>
      <c r="B59" t="s">
        <v>3409</v>
      </c>
      <c r="C59" t="s">
        <v>3410</v>
      </c>
      <c r="D59" t="s">
        <v>3415</v>
      </c>
      <c r="E59" t="s">
        <v>3416</v>
      </c>
      <c r="F59" t="s">
        <v>3318</v>
      </c>
      <c r="G59" t="s">
        <v>1820</v>
      </c>
    </row>
    <row r="60" spans="1:7" ht="11.25" customHeight="1" x14ac:dyDescent="0.15">
      <c r="A60" t="s">
        <v>16</v>
      </c>
      <c r="B60" t="s">
        <v>3409</v>
      </c>
      <c r="C60" t="s">
        <v>3410</v>
      </c>
      <c r="D60" t="s">
        <v>3417</v>
      </c>
      <c r="E60" t="s">
        <v>3418</v>
      </c>
      <c r="F60" t="s">
        <v>3324</v>
      </c>
      <c r="G60" t="s">
        <v>1823</v>
      </c>
    </row>
    <row r="61" spans="1:7" ht="11.25" customHeight="1" x14ac:dyDescent="0.15">
      <c r="A61" t="s">
        <v>16</v>
      </c>
      <c r="B61" t="s">
        <v>3409</v>
      </c>
      <c r="C61" t="s">
        <v>3410</v>
      </c>
      <c r="D61" t="s">
        <v>3419</v>
      </c>
      <c r="E61" t="s">
        <v>3420</v>
      </c>
      <c r="F61" t="s">
        <v>3318</v>
      </c>
      <c r="G61" t="s">
        <v>3421</v>
      </c>
    </row>
    <row r="62" spans="1:7" ht="11.25" customHeight="1" x14ac:dyDescent="0.15">
      <c r="A62" t="s">
        <v>16</v>
      </c>
      <c r="B62" t="s">
        <v>3409</v>
      </c>
      <c r="C62" t="s">
        <v>3410</v>
      </c>
      <c r="D62" t="s">
        <v>3422</v>
      </c>
      <c r="E62" t="s">
        <v>3423</v>
      </c>
      <c r="F62" t="s">
        <v>3318</v>
      </c>
      <c r="G62" t="s">
        <v>3424</v>
      </c>
    </row>
    <row r="63" spans="1:7" ht="11.25" customHeight="1" x14ac:dyDescent="0.15">
      <c r="A63" t="s">
        <v>16</v>
      </c>
      <c r="B63" t="s">
        <v>3409</v>
      </c>
      <c r="C63" t="s">
        <v>3410</v>
      </c>
      <c r="D63" t="s">
        <v>3409</v>
      </c>
      <c r="E63" t="s">
        <v>3410</v>
      </c>
      <c r="F63" t="s">
        <v>3319</v>
      </c>
      <c r="G63" t="s">
        <v>3425</v>
      </c>
    </row>
    <row r="64" spans="1:7" ht="11.25" customHeight="1" x14ac:dyDescent="0.15">
      <c r="A64" t="s">
        <v>16</v>
      </c>
      <c r="B64" t="s">
        <v>3409</v>
      </c>
      <c r="C64" t="s">
        <v>3410</v>
      </c>
      <c r="D64" t="s">
        <v>3426</v>
      </c>
      <c r="E64" t="s">
        <v>3427</v>
      </c>
      <c r="F64" t="s">
        <v>3318</v>
      </c>
      <c r="G64" t="s">
        <v>3428</v>
      </c>
    </row>
    <row r="65" spans="1:7" ht="11.25" customHeight="1" x14ac:dyDescent="0.15">
      <c r="A65" t="s">
        <v>16</v>
      </c>
      <c r="B65" t="s">
        <v>3429</v>
      </c>
      <c r="C65" t="s">
        <v>3430</v>
      </c>
      <c r="D65" t="s">
        <v>3429</v>
      </c>
      <c r="E65" t="s">
        <v>3430</v>
      </c>
      <c r="F65" t="s">
        <v>3304</v>
      </c>
      <c r="G65" t="s">
        <v>3431</v>
      </c>
    </row>
    <row r="66" spans="1:7" ht="11.25" customHeight="1" x14ac:dyDescent="0.15">
      <c r="A66" t="s">
        <v>16</v>
      </c>
      <c r="B66" t="s">
        <v>3432</v>
      </c>
      <c r="C66" t="s">
        <v>3433</v>
      </c>
      <c r="D66" t="s">
        <v>3432</v>
      </c>
      <c r="E66" t="s">
        <v>3433</v>
      </c>
      <c r="F66" t="s">
        <v>3304</v>
      </c>
      <c r="G66" t="s">
        <v>3434</v>
      </c>
    </row>
    <row r="67" spans="1:7" ht="11.25" customHeight="1" x14ac:dyDescent="0.15">
      <c r="A67" t="s">
        <v>16</v>
      </c>
      <c r="B67" t="s">
        <v>3435</v>
      </c>
      <c r="C67" t="s">
        <v>3436</v>
      </c>
      <c r="D67" t="s">
        <v>3437</v>
      </c>
      <c r="E67" t="s">
        <v>3438</v>
      </c>
      <c r="F67" t="s">
        <v>3318</v>
      </c>
      <c r="G67" t="s">
        <v>2142</v>
      </c>
    </row>
    <row r="68" spans="1:7" ht="11.25" customHeight="1" x14ac:dyDescent="0.15">
      <c r="A68" t="s">
        <v>16</v>
      </c>
      <c r="B68" t="s">
        <v>3435</v>
      </c>
      <c r="C68" t="s">
        <v>3436</v>
      </c>
      <c r="D68" t="s">
        <v>3439</v>
      </c>
      <c r="E68" t="s">
        <v>3440</v>
      </c>
      <c r="F68" t="s">
        <v>3318</v>
      </c>
      <c r="G68" t="s">
        <v>3441</v>
      </c>
    </row>
    <row r="69" spans="1:7" ht="11.25" customHeight="1" x14ac:dyDescent="0.15">
      <c r="A69" t="s">
        <v>16</v>
      </c>
      <c r="B69" t="s">
        <v>3435</v>
      </c>
      <c r="C69" t="s">
        <v>3436</v>
      </c>
      <c r="D69" t="s">
        <v>3442</v>
      </c>
      <c r="E69" t="s">
        <v>3443</v>
      </c>
      <c r="F69" t="s">
        <v>3318</v>
      </c>
      <c r="G69" t="s">
        <v>2345</v>
      </c>
    </row>
    <row r="70" spans="1:7" ht="11.25" customHeight="1" x14ac:dyDescent="0.15">
      <c r="A70" t="s">
        <v>16</v>
      </c>
      <c r="B70" t="s">
        <v>3435</v>
      </c>
      <c r="C70" t="s">
        <v>3436</v>
      </c>
      <c r="D70" t="s">
        <v>3444</v>
      </c>
      <c r="E70" t="s">
        <v>3445</v>
      </c>
      <c r="F70" t="s">
        <v>3318</v>
      </c>
      <c r="G70" t="s">
        <v>3446</v>
      </c>
    </row>
    <row r="71" spans="1:7" ht="11.25" customHeight="1" x14ac:dyDescent="0.15">
      <c r="A71" t="s">
        <v>16</v>
      </c>
      <c r="B71" t="s">
        <v>3435</v>
      </c>
      <c r="C71" t="s">
        <v>3436</v>
      </c>
      <c r="D71" t="s">
        <v>3447</v>
      </c>
      <c r="E71" t="s">
        <v>3448</v>
      </c>
      <c r="F71" t="s">
        <v>3318</v>
      </c>
      <c r="G71" t="s">
        <v>3449</v>
      </c>
    </row>
    <row r="72" spans="1:7" ht="11.25" customHeight="1" x14ac:dyDescent="0.15">
      <c r="A72" t="s">
        <v>16</v>
      </c>
      <c r="B72" t="s">
        <v>3435</v>
      </c>
      <c r="C72" t="s">
        <v>3436</v>
      </c>
      <c r="D72" t="s">
        <v>3435</v>
      </c>
      <c r="E72" t="s">
        <v>3436</v>
      </c>
      <c r="F72" t="s">
        <v>3319</v>
      </c>
      <c r="G72" t="s">
        <v>3450</v>
      </c>
    </row>
    <row r="73" spans="1:7" ht="11.25" customHeight="1" x14ac:dyDescent="0.15">
      <c r="A73" t="s">
        <v>16</v>
      </c>
      <c r="B73" t="s">
        <v>3435</v>
      </c>
      <c r="C73" t="s">
        <v>3436</v>
      </c>
      <c r="D73" t="s">
        <v>3451</v>
      </c>
      <c r="E73" t="s">
        <v>3452</v>
      </c>
      <c r="F73" t="s">
        <v>3318</v>
      </c>
      <c r="G73" t="s">
        <v>3453</v>
      </c>
    </row>
    <row r="74" spans="1:7" ht="11.25" customHeight="1" x14ac:dyDescent="0.15">
      <c r="A74" t="s">
        <v>16</v>
      </c>
      <c r="B74" t="s">
        <v>3435</v>
      </c>
      <c r="C74" t="s">
        <v>3436</v>
      </c>
      <c r="D74" t="s">
        <v>3454</v>
      </c>
      <c r="E74" t="s">
        <v>3455</v>
      </c>
      <c r="F74" t="s">
        <v>3318</v>
      </c>
      <c r="G74" t="s">
        <v>3456</v>
      </c>
    </row>
    <row r="75" spans="1:7" ht="11.25" customHeight="1" x14ac:dyDescent="0.15">
      <c r="A75" t="s">
        <v>16</v>
      </c>
      <c r="B75" t="s">
        <v>3435</v>
      </c>
      <c r="C75" t="s">
        <v>3436</v>
      </c>
      <c r="D75" t="s">
        <v>3457</v>
      </c>
      <c r="E75" t="s">
        <v>3458</v>
      </c>
      <c r="F75" t="s">
        <v>3318</v>
      </c>
      <c r="G75" t="s">
        <v>3459</v>
      </c>
    </row>
    <row r="76" spans="1:7" ht="11.25" customHeight="1" x14ac:dyDescent="0.15">
      <c r="A76" t="s">
        <v>16</v>
      </c>
      <c r="B76" t="s">
        <v>3460</v>
      </c>
      <c r="C76" t="s">
        <v>3461</v>
      </c>
      <c r="D76" t="s">
        <v>3460</v>
      </c>
      <c r="E76" t="s">
        <v>3461</v>
      </c>
      <c r="F76" t="s">
        <v>3304</v>
      </c>
      <c r="G76" t="s">
        <v>3462</v>
      </c>
    </row>
    <row r="77" spans="1:7" ht="11.25" customHeight="1" x14ac:dyDescent="0.15">
      <c r="A77" t="s">
        <v>16</v>
      </c>
      <c r="B77" t="s">
        <v>3463</v>
      </c>
      <c r="C77" t="s">
        <v>3464</v>
      </c>
      <c r="D77" t="s">
        <v>3463</v>
      </c>
      <c r="E77" t="s">
        <v>3464</v>
      </c>
      <c r="F77" t="s">
        <v>3307</v>
      </c>
      <c r="G77" t="s">
        <v>3465</v>
      </c>
    </row>
    <row r="78" spans="1:7" ht="11.25" customHeight="1" x14ac:dyDescent="0.15">
      <c r="A78" t="s">
        <v>16</v>
      </c>
      <c r="B78" t="s">
        <v>3466</v>
      </c>
      <c r="C78" t="s">
        <v>3467</v>
      </c>
      <c r="D78" t="s">
        <v>3466</v>
      </c>
      <c r="E78" t="s">
        <v>3467</v>
      </c>
      <c r="F78" t="s">
        <v>3304</v>
      </c>
      <c r="G78" t="s">
        <v>3468</v>
      </c>
    </row>
    <row r="79" spans="1:7" ht="11.25" customHeight="1" x14ac:dyDescent="0.15">
      <c r="A79" t="s">
        <v>16</v>
      </c>
      <c r="B79" t="s">
        <v>118</v>
      </c>
      <c r="C79" t="s">
        <v>119</v>
      </c>
      <c r="D79" t="s">
        <v>118</v>
      </c>
      <c r="E79" t="s">
        <v>119</v>
      </c>
      <c r="F79" t="s">
        <v>3304</v>
      </c>
      <c r="G79" t="s">
        <v>117</v>
      </c>
    </row>
    <row r="80" spans="1:7" ht="11.25" customHeight="1" x14ac:dyDescent="0.15">
      <c r="A80" t="s">
        <v>16</v>
      </c>
      <c r="B80" t="s">
        <v>3469</v>
      </c>
      <c r="C80" t="s">
        <v>3470</v>
      </c>
      <c r="D80" t="s">
        <v>3469</v>
      </c>
      <c r="E80" t="s">
        <v>3470</v>
      </c>
      <c r="F80" t="s">
        <v>3304</v>
      </c>
      <c r="G80" t="s">
        <v>3471</v>
      </c>
    </row>
    <row r="81" spans="1:7" ht="11.25" customHeight="1" x14ac:dyDescent="0.15">
      <c r="A81" t="s">
        <v>16</v>
      </c>
      <c r="B81" t="s">
        <v>137</v>
      </c>
      <c r="C81" t="s">
        <v>138</v>
      </c>
      <c r="D81" t="s">
        <v>137</v>
      </c>
      <c r="E81" t="s">
        <v>138</v>
      </c>
      <c r="F81" t="s">
        <v>3304</v>
      </c>
      <c r="G81" t="s">
        <v>136</v>
      </c>
    </row>
    <row r="82" spans="1:7" ht="11.25" customHeight="1" x14ac:dyDescent="0.15">
      <c r="A82" t="s">
        <v>16</v>
      </c>
      <c r="B82" t="s">
        <v>123</v>
      </c>
      <c r="C82" t="s">
        <v>3472</v>
      </c>
      <c r="D82" t="s">
        <v>124</v>
      </c>
      <c r="E82" t="s">
        <v>125</v>
      </c>
      <c r="F82" t="s">
        <v>3318</v>
      </c>
      <c r="G82" t="s">
        <v>122</v>
      </c>
    </row>
    <row r="83" spans="1:7" ht="11.25" customHeight="1" x14ac:dyDescent="0.15">
      <c r="A83" t="s">
        <v>16</v>
      </c>
      <c r="B83" t="s">
        <v>123</v>
      </c>
      <c r="C83" t="s">
        <v>3472</v>
      </c>
      <c r="D83" t="s">
        <v>3473</v>
      </c>
      <c r="E83" t="s">
        <v>3474</v>
      </c>
      <c r="F83" t="s">
        <v>3324</v>
      </c>
      <c r="G83" t="s">
        <v>3475</v>
      </c>
    </row>
    <row r="84" spans="1:7" ht="11.25" customHeight="1" x14ac:dyDescent="0.15">
      <c r="A84" t="s">
        <v>16</v>
      </c>
      <c r="B84" t="s">
        <v>123</v>
      </c>
      <c r="C84" t="s">
        <v>3472</v>
      </c>
      <c r="D84" t="s">
        <v>128</v>
      </c>
      <c r="E84" t="s">
        <v>129</v>
      </c>
      <c r="F84" t="s">
        <v>3318</v>
      </c>
      <c r="G84" t="s">
        <v>127</v>
      </c>
    </row>
    <row r="85" spans="1:7" ht="11.25" customHeight="1" x14ac:dyDescent="0.15">
      <c r="A85" t="s">
        <v>16</v>
      </c>
      <c r="B85" t="s">
        <v>123</v>
      </c>
      <c r="C85" t="s">
        <v>3472</v>
      </c>
      <c r="D85" t="s">
        <v>3476</v>
      </c>
      <c r="E85" t="s">
        <v>3477</v>
      </c>
      <c r="F85" t="s">
        <v>3339</v>
      </c>
      <c r="G85" t="s">
        <v>3478</v>
      </c>
    </row>
    <row r="86" spans="1:7" ht="11.25" customHeight="1" x14ac:dyDescent="0.15">
      <c r="A86" t="s">
        <v>16</v>
      </c>
      <c r="B86" t="s">
        <v>123</v>
      </c>
      <c r="C86" t="s">
        <v>3472</v>
      </c>
      <c r="D86" t="s">
        <v>132</v>
      </c>
      <c r="E86" t="s">
        <v>133</v>
      </c>
      <c r="F86" t="s">
        <v>3318</v>
      </c>
      <c r="G86" t="s">
        <v>131</v>
      </c>
    </row>
    <row r="87" spans="1:7" ht="11.25" customHeight="1" x14ac:dyDescent="0.15">
      <c r="A87" t="s">
        <v>16</v>
      </c>
      <c r="B87" t="s">
        <v>123</v>
      </c>
      <c r="C87" t="s">
        <v>3472</v>
      </c>
      <c r="D87" t="s">
        <v>123</v>
      </c>
      <c r="E87" t="s">
        <v>3472</v>
      </c>
      <c r="F87" t="s">
        <v>3319</v>
      </c>
      <c r="G87" t="s">
        <v>3479</v>
      </c>
    </row>
    <row r="88" spans="1:7" ht="11.25" customHeight="1" x14ac:dyDescent="0.15">
      <c r="A88" t="s">
        <v>16</v>
      </c>
      <c r="B88" t="s">
        <v>123</v>
      </c>
      <c r="C88" t="s">
        <v>3472</v>
      </c>
      <c r="D88" t="s">
        <v>3480</v>
      </c>
      <c r="E88" t="s">
        <v>3481</v>
      </c>
      <c r="F88" t="s">
        <v>3318</v>
      </c>
      <c r="G88" t="s">
        <v>3482</v>
      </c>
    </row>
    <row r="89" spans="1:7" ht="11.25" customHeight="1" x14ac:dyDescent="0.15">
      <c r="A89" t="s">
        <v>16</v>
      </c>
      <c r="B89" t="s">
        <v>3483</v>
      </c>
      <c r="C89" t="s">
        <v>3484</v>
      </c>
      <c r="D89" t="s">
        <v>3483</v>
      </c>
      <c r="E89" t="s">
        <v>3484</v>
      </c>
      <c r="F89" t="s">
        <v>3304</v>
      </c>
      <c r="G89" t="s">
        <v>3485</v>
      </c>
    </row>
    <row r="90" spans="1:7" ht="11.25" customHeight="1" x14ac:dyDescent="0.15">
      <c r="A90" t="s">
        <v>16</v>
      </c>
      <c r="B90" t="s">
        <v>148</v>
      </c>
      <c r="C90" t="s">
        <v>149</v>
      </c>
      <c r="D90" t="s">
        <v>148</v>
      </c>
      <c r="E90" t="s">
        <v>149</v>
      </c>
      <c r="F90" t="s">
        <v>3304</v>
      </c>
      <c r="G90" t="s">
        <v>147</v>
      </c>
    </row>
    <row r="91" spans="1:7" ht="11.25" customHeight="1" x14ac:dyDescent="0.15">
      <c r="A91" t="s">
        <v>16</v>
      </c>
      <c r="B91" t="s">
        <v>142</v>
      </c>
      <c r="C91" t="s">
        <v>3486</v>
      </c>
      <c r="D91" t="s">
        <v>3487</v>
      </c>
      <c r="E91" t="s">
        <v>3488</v>
      </c>
      <c r="F91" t="s">
        <v>3318</v>
      </c>
      <c r="G91" t="s">
        <v>3489</v>
      </c>
    </row>
    <row r="92" spans="1:7" ht="11.25" customHeight="1" x14ac:dyDescent="0.15">
      <c r="A92" t="s">
        <v>16</v>
      </c>
      <c r="B92" t="s">
        <v>142</v>
      </c>
      <c r="C92" t="s">
        <v>3486</v>
      </c>
      <c r="D92" t="s">
        <v>3490</v>
      </c>
      <c r="E92" t="s">
        <v>3491</v>
      </c>
      <c r="F92" t="s">
        <v>3318</v>
      </c>
      <c r="G92" t="s">
        <v>3492</v>
      </c>
    </row>
    <row r="93" spans="1:7" ht="11.25" customHeight="1" x14ac:dyDescent="0.15">
      <c r="A93" t="s">
        <v>16</v>
      </c>
      <c r="B93" t="s">
        <v>142</v>
      </c>
      <c r="C93" t="s">
        <v>3486</v>
      </c>
      <c r="D93" t="s">
        <v>143</v>
      </c>
      <c r="E93" t="s">
        <v>144</v>
      </c>
      <c r="F93" t="s">
        <v>3318</v>
      </c>
      <c r="G93" t="s">
        <v>141</v>
      </c>
    </row>
    <row r="94" spans="1:7" ht="11.25" customHeight="1" x14ac:dyDescent="0.15">
      <c r="A94" t="s">
        <v>16</v>
      </c>
      <c r="B94" t="s">
        <v>142</v>
      </c>
      <c r="C94" t="s">
        <v>3486</v>
      </c>
      <c r="D94" t="s">
        <v>3493</v>
      </c>
      <c r="E94" t="s">
        <v>3494</v>
      </c>
      <c r="F94" t="s">
        <v>3339</v>
      </c>
      <c r="G94" t="s">
        <v>3495</v>
      </c>
    </row>
    <row r="95" spans="1:7" ht="11.25" customHeight="1" x14ac:dyDescent="0.15">
      <c r="A95" t="s">
        <v>16</v>
      </c>
      <c r="B95" t="s">
        <v>142</v>
      </c>
      <c r="C95" t="s">
        <v>3486</v>
      </c>
      <c r="D95" t="s">
        <v>3496</v>
      </c>
      <c r="E95" t="s">
        <v>3497</v>
      </c>
      <c r="F95" t="s">
        <v>3318</v>
      </c>
      <c r="G95" t="s">
        <v>3498</v>
      </c>
    </row>
    <row r="96" spans="1:7" ht="11.25" customHeight="1" x14ac:dyDescent="0.15">
      <c r="A96" t="s">
        <v>16</v>
      </c>
      <c r="B96" t="s">
        <v>142</v>
      </c>
      <c r="C96" t="s">
        <v>3486</v>
      </c>
      <c r="D96" t="s">
        <v>142</v>
      </c>
      <c r="E96" t="s">
        <v>3486</v>
      </c>
      <c r="F96" t="s">
        <v>3319</v>
      </c>
      <c r="G96" t="s">
        <v>3499</v>
      </c>
    </row>
    <row r="97" spans="1:7" ht="11.25" customHeight="1" x14ac:dyDescent="0.15">
      <c r="A97" t="s">
        <v>16</v>
      </c>
      <c r="B97" t="s">
        <v>142</v>
      </c>
      <c r="C97" t="s">
        <v>3486</v>
      </c>
      <c r="D97" t="s">
        <v>3500</v>
      </c>
      <c r="E97" t="s">
        <v>3501</v>
      </c>
      <c r="F97" t="s">
        <v>3339</v>
      </c>
      <c r="G97" t="s">
        <v>3502</v>
      </c>
    </row>
    <row r="98" spans="1:7" ht="11.25" customHeight="1" x14ac:dyDescent="0.15">
      <c r="A98" t="s">
        <v>16</v>
      </c>
      <c r="B98" t="s">
        <v>142</v>
      </c>
      <c r="C98" t="s">
        <v>3486</v>
      </c>
      <c r="D98" t="s">
        <v>3503</v>
      </c>
      <c r="E98" t="s">
        <v>3504</v>
      </c>
      <c r="F98" t="s">
        <v>3318</v>
      </c>
      <c r="G98" t="s">
        <v>3505</v>
      </c>
    </row>
    <row r="99" spans="1:7" ht="11.25" customHeight="1" x14ac:dyDescent="0.15">
      <c r="A99" t="s">
        <v>16</v>
      </c>
      <c r="B99" t="s">
        <v>3506</v>
      </c>
      <c r="C99" t="s">
        <v>3507</v>
      </c>
      <c r="D99" t="s">
        <v>3506</v>
      </c>
      <c r="E99" t="s">
        <v>3507</v>
      </c>
      <c r="F99" t="s">
        <v>3304</v>
      </c>
      <c r="G99" t="s">
        <v>3508</v>
      </c>
    </row>
    <row r="100" spans="1:7" ht="11.25" customHeight="1" x14ac:dyDescent="0.15">
      <c r="A100" t="s">
        <v>16</v>
      </c>
      <c r="B100" t="s">
        <v>3509</v>
      </c>
      <c r="C100" t="s">
        <v>3510</v>
      </c>
      <c r="D100" t="s">
        <v>3511</v>
      </c>
      <c r="E100" t="s">
        <v>3512</v>
      </c>
      <c r="F100" t="s">
        <v>3318</v>
      </c>
      <c r="G100" t="s">
        <v>3513</v>
      </c>
    </row>
    <row r="101" spans="1:7" ht="11.25" customHeight="1" x14ac:dyDescent="0.15">
      <c r="A101" t="s">
        <v>16</v>
      </c>
      <c r="B101" t="s">
        <v>3509</v>
      </c>
      <c r="C101" t="s">
        <v>3510</v>
      </c>
      <c r="D101" t="s">
        <v>3514</v>
      </c>
      <c r="E101" t="s">
        <v>3515</v>
      </c>
      <c r="F101" t="s">
        <v>3318</v>
      </c>
      <c r="G101" t="s">
        <v>3516</v>
      </c>
    </row>
    <row r="102" spans="1:7" ht="11.25" customHeight="1" x14ac:dyDescent="0.15">
      <c r="A102" t="s">
        <v>16</v>
      </c>
      <c r="B102" t="s">
        <v>3509</v>
      </c>
      <c r="C102" t="s">
        <v>3510</v>
      </c>
      <c r="D102" t="s">
        <v>3517</v>
      </c>
      <c r="E102" t="s">
        <v>3518</v>
      </c>
      <c r="F102" t="s">
        <v>3318</v>
      </c>
      <c r="G102" t="s">
        <v>3519</v>
      </c>
    </row>
    <row r="103" spans="1:7" ht="11.25" customHeight="1" x14ac:dyDescent="0.15">
      <c r="A103" t="s">
        <v>16</v>
      </c>
      <c r="B103" t="s">
        <v>3509</v>
      </c>
      <c r="C103" t="s">
        <v>3510</v>
      </c>
      <c r="D103" t="s">
        <v>3520</v>
      </c>
      <c r="E103" t="s">
        <v>3521</v>
      </c>
      <c r="F103" t="s">
        <v>3318</v>
      </c>
      <c r="G103" t="s">
        <v>3522</v>
      </c>
    </row>
    <row r="104" spans="1:7" ht="11.25" customHeight="1" x14ac:dyDescent="0.15">
      <c r="A104" t="s">
        <v>16</v>
      </c>
      <c r="B104" t="s">
        <v>3509</v>
      </c>
      <c r="C104" t="s">
        <v>3510</v>
      </c>
      <c r="D104" t="s">
        <v>3509</v>
      </c>
      <c r="E104" t="s">
        <v>3510</v>
      </c>
      <c r="F104" t="s">
        <v>3319</v>
      </c>
      <c r="G104" t="s">
        <v>3523</v>
      </c>
    </row>
    <row r="105" spans="1:7" ht="11.25" customHeight="1" x14ac:dyDescent="0.15">
      <c r="A105" t="s">
        <v>16</v>
      </c>
      <c r="B105" t="s">
        <v>3509</v>
      </c>
      <c r="C105" t="s">
        <v>3510</v>
      </c>
      <c r="D105" t="s">
        <v>3524</v>
      </c>
      <c r="E105" t="s">
        <v>3525</v>
      </c>
      <c r="F105" t="s">
        <v>3318</v>
      </c>
      <c r="G105" t="s">
        <v>3526</v>
      </c>
    </row>
    <row r="106" spans="1:7" ht="11.25" customHeight="1" x14ac:dyDescent="0.15">
      <c r="A106" t="s">
        <v>16</v>
      </c>
      <c r="B106" t="s">
        <v>3527</v>
      </c>
      <c r="C106" t="s">
        <v>3528</v>
      </c>
      <c r="D106" t="s">
        <v>3527</v>
      </c>
      <c r="E106" t="s">
        <v>3528</v>
      </c>
      <c r="F106" t="s">
        <v>3307</v>
      </c>
      <c r="G106" t="s">
        <v>3529</v>
      </c>
    </row>
    <row r="107" spans="1:7" ht="11.25" customHeight="1" x14ac:dyDescent="0.15">
      <c r="A107" t="s">
        <v>16</v>
      </c>
      <c r="B107" t="s">
        <v>161</v>
      </c>
      <c r="C107" t="s">
        <v>162</v>
      </c>
      <c r="D107" t="s">
        <v>161</v>
      </c>
      <c r="E107" t="s">
        <v>162</v>
      </c>
      <c r="F107" t="s">
        <v>3307</v>
      </c>
      <c r="G107" t="s">
        <v>160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x14ac:dyDescent="0.15"/>
  <cols>
    <col min="1" max="1" width="13.85546875" customWidth="1"/>
    <col min="2" max="2" width="10.42578125" customWidth="1"/>
    <col min="3" max="3" width="7.5703125" customWidth="1"/>
    <col min="4" max="4" width="13.85546875" customWidth="1"/>
    <col min="5" max="5" width="11.5703125" customWidth="1"/>
    <col min="6" max="6" width="16.28515625" customWidth="1"/>
    <col min="7" max="7" width="16" customWidth="1"/>
    <col min="8" max="9" width="16.140625" customWidth="1"/>
  </cols>
  <sheetData>
    <row r="1" spans="1:9" ht="11.25" customHeight="1" x14ac:dyDescent="0.15">
      <c r="A1" t="s">
        <v>3530</v>
      </c>
      <c r="B1" t="s">
        <v>3531</v>
      </c>
      <c r="C1" t="s">
        <v>3532</v>
      </c>
      <c r="D1" t="s">
        <v>3533</v>
      </c>
      <c r="E1" t="s">
        <v>3534</v>
      </c>
      <c r="F1" t="s">
        <v>3535</v>
      </c>
      <c r="G1" t="s">
        <v>3536</v>
      </c>
      <c r="H1" t="s">
        <v>3537</v>
      </c>
      <c r="I1" t="s">
        <v>3538</v>
      </c>
    </row>
    <row r="2" spans="1:9" ht="11.25" customHeight="1" x14ac:dyDescent="0.15">
      <c r="A2" t="s">
        <v>101</v>
      </c>
      <c r="B2" t="s">
        <v>3539</v>
      </c>
      <c r="C2" t="s">
        <v>28</v>
      </c>
      <c r="D2" t="s">
        <v>3540</v>
      </c>
      <c r="E2" t="s">
        <v>3541</v>
      </c>
      <c r="F2" t="s">
        <v>28</v>
      </c>
      <c r="G2" t="s">
        <v>28</v>
      </c>
      <c r="H2" t="s">
        <v>28</v>
      </c>
      <c r="I2" t="s">
        <v>28</v>
      </c>
    </row>
    <row r="3" spans="1:9" ht="11.25" customHeight="1" x14ac:dyDescent="0.15">
      <c r="A3" t="s">
        <v>105</v>
      </c>
      <c r="B3" t="s">
        <v>3542</v>
      </c>
      <c r="C3" t="s">
        <v>28</v>
      </c>
      <c r="D3" t="s">
        <v>3543</v>
      </c>
      <c r="E3" t="s">
        <v>3544</v>
      </c>
      <c r="F3" t="s">
        <v>28</v>
      </c>
      <c r="G3" t="s">
        <v>28</v>
      </c>
      <c r="H3" t="s">
        <v>28</v>
      </c>
      <c r="I3" t="s">
        <v>28</v>
      </c>
    </row>
    <row r="4" spans="1:9" ht="11.25" customHeight="1" x14ac:dyDescent="0.15">
      <c r="A4" t="s">
        <v>92</v>
      </c>
      <c r="B4" t="s">
        <v>3545</v>
      </c>
      <c r="C4" t="s">
        <v>28</v>
      </c>
      <c r="D4" t="s">
        <v>3543</v>
      </c>
      <c r="E4" t="s">
        <v>3546</v>
      </c>
      <c r="F4" t="s">
        <v>28</v>
      </c>
      <c r="G4" t="s">
        <v>28</v>
      </c>
      <c r="H4" t="s">
        <v>28</v>
      </c>
      <c r="I4" t="s">
        <v>28</v>
      </c>
    </row>
    <row r="5" spans="1:9" ht="11.25" customHeight="1" x14ac:dyDescent="0.15">
      <c r="A5" t="s">
        <v>93</v>
      </c>
      <c r="B5" t="s">
        <v>3547</v>
      </c>
      <c r="C5" t="s">
        <v>28</v>
      </c>
      <c r="D5" t="s">
        <v>3543</v>
      </c>
      <c r="E5" t="s">
        <v>3548</v>
      </c>
      <c r="F5" t="s">
        <v>28</v>
      </c>
      <c r="G5" t="s">
        <v>28</v>
      </c>
      <c r="H5" t="s">
        <v>28</v>
      </c>
      <c r="I5" t="s">
        <v>28</v>
      </c>
    </row>
    <row r="6" spans="1:9" ht="11.25" customHeight="1" x14ac:dyDescent="0.15">
      <c r="A6" t="s">
        <v>120</v>
      </c>
      <c r="B6" t="s">
        <v>3549</v>
      </c>
      <c r="C6" t="s">
        <v>28</v>
      </c>
      <c r="D6" t="s">
        <v>3543</v>
      </c>
      <c r="E6" t="s">
        <v>3550</v>
      </c>
      <c r="F6" t="s">
        <v>28</v>
      </c>
      <c r="G6" t="s">
        <v>28</v>
      </c>
      <c r="H6" t="s">
        <v>28</v>
      </c>
      <c r="I6" t="s">
        <v>28</v>
      </c>
    </row>
    <row r="7" spans="1:9" ht="11.25" customHeight="1" x14ac:dyDescent="0.15">
      <c r="A7" t="s">
        <v>94</v>
      </c>
      <c r="B7" t="s">
        <v>3551</v>
      </c>
      <c r="C7" t="s">
        <v>28</v>
      </c>
      <c r="D7" t="s">
        <v>3543</v>
      </c>
      <c r="E7" t="s">
        <v>3548</v>
      </c>
      <c r="F7" t="s">
        <v>28</v>
      </c>
      <c r="G7" t="s">
        <v>28</v>
      </c>
      <c r="H7" t="s">
        <v>28</v>
      </c>
      <c r="I7" t="s">
        <v>28</v>
      </c>
    </row>
    <row r="8" spans="1:9" ht="11.25" customHeight="1" x14ac:dyDescent="0.15">
      <c r="A8" t="s">
        <v>95</v>
      </c>
      <c r="B8" t="s">
        <v>3552</v>
      </c>
      <c r="C8" t="s">
        <v>28</v>
      </c>
      <c r="D8" t="s">
        <v>3543</v>
      </c>
      <c r="E8" t="s">
        <v>3550</v>
      </c>
      <c r="F8" t="s">
        <v>28</v>
      </c>
      <c r="G8" t="s">
        <v>28</v>
      </c>
      <c r="H8" t="s">
        <v>28</v>
      </c>
      <c r="I8" t="s">
        <v>28</v>
      </c>
    </row>
    <row r="9" spans="1:9" ht="11.25" customHeight="1" x14ac:dyDescent="0.15">
      <c r="A9" t="s">
        <v>134</v>
      </c>
      <c r="B9" t="s">
        <v>3553</v>
      </c>
      <c r="C9" t="s">
        <v>28</v>
      </c>
      <c r="D9" t="s">
        <v>3543</v>
      </c>
      <c r="E9" t="s">
        <v>3554</v>
      </c>
      <c r="F9" t="s">
        <v>28</v>
      </c>
      <c r="G9" t="s">
        <v>28</v>
      </c>
      <c r="H9" t="s">
        <v>28</v>
      </c>
      <c r="I9" t="s">
        <v>28</v>
      </c>
    </row>
    <row r="10" spans="1:9" ht="11.25" customHeight="1" x14ac:dyDescent="0.15">
      <c r="A10" t="s">
        <v>139</v>
      </c>
      <c r="B10" t="s">
        <v>3555</v>
      </c>
      <c r="C10" t="s">
        <v>28</v>
      </c>
      <c r="D10" t="s">
        <v>3556</v>
      </c>
      <c r="E10" t="s">
        <v>3544</v>
      </c>
      <c r="F10" t="s">
        <v>28</v>
      </c>
      <c r="G10" t="s">
        <v>28</v>
      </c>
      <c r="H10" t="s">
        <v>28</v>
      </c>
      <c r="I10" t="s">
        <v>28</v>
      </c>
    </row>
    <row r="11" spans="1:9" ht="11.25" customHeight="1" x14ac:dyDescent="0.15">
      <c r="A11" t="s">
        <v>145</v>
      </c>
      <c r="B11" t="s">
        <v>3557</v>
      </c>
      <c r="C11" t="s">
        <v>28</v>
      </c>
      <c r="D11" t="s">
        <v>3558</v>
      </c>
      <c r="E11" t="s">
        <v>3550</v>
      </c>
      <c r="F11" t="s">
        <v>28</v>
      </c>
      <c r="G11" t="s">
        <v>28</v>
      </c>
      <c r="H11" t="s">
        <v>28</v>
      </c>
      <c r="I11" t="s">
        <v>28</v>
      </c>
    </row>
    <row r="12" spans="1:9" ht="11.25" customHeight="1" x14ac:dyDescent="0.15">
      <c r="A12" t="s">
        <v>150</v>
      </c>
      <c r="B12" t="s">
        <v>3559</v>
      </c>
      <c r="C12" t="s">
        <v>28</v>
      </c>
      <c r="D12" t="s">
        <v>3558</v>
      </c>
      <c r="E12" t="s">
        <v>3550</v>
      </c>
      <c r="F12" t="s">
        <v>28</v>
      </c>
      <c r="G12" t="s">
        <v>28</v>
      </c>
      <c r="H12" t="s">
        <v>28</v>
      </c>
      <c r="I12" t="s">
        <v>28</v>
      </c>
    </row>
    <row r="13" spans="1:9" ht="11.25" customHeight="1" x14ac:dyDescent="0.15">
      <c r="A13" t="s">
        <v>154</v>
      </c>
      <c r="B13" t="s">
        <v>3560</v>
      </c>
      <c r="C13" t="s">
        <v>28</v>
      </c>
      <c r="D13" t="s">
        <v>3543</v>
      </c>
      <c r="E13" t="s">
        <v>3561</v>
      </c>
      <c r="F13" t="s">
        <v>28</v>
      </c>
      <c r="G13" t="s">
        <v>28</v>
      </c>
      <c r="H13" t="s">
        <v>28</v>
      </c>
      <c r="I1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4"/>
  <sheetViews>
    <sheetView showGridLines="0" workbookViewId="0"/>
  </sheetViews>
  <sheetFormatPr defaultColWidth="9.140625" defaultRowHeight="11.25" customHeight="1" x14ac:dyDescent="0.15"/>
  <sheetData>
    <row r="1" spans="1:2" ht="11.25" customHeight="1" x14ac:dyDescent="0.15">
      <c r="A1" t="s">
        <v>186</v>
      </c>
      <c r="B1" t="s">
        <v>3562</v>
      </c>
    </row>
    <row r="2" spans="1:2" ht="11.25" customHeight="1" x14ac:dyDescent="0.15">
      <c r="A2" t="s">
        <v>100</v>
      </c>
      <c r="B2" t="s">
        <v>3563</v>
      </c>
    </row>
    <row r="3" spans="1:2" ht="11.25" customHeight="1" x14ac:dyDescent="0.15">
      <c r="A3" t="s">
        <v>107</v>
      </c>
      <c r="B3" t="s">
        <v>3564</v>
      </c>
    </row>
    <row r="4" spans="1:2" ht="11.25" customHeight="1" x14ac:dyDescent="0.15">
      <c r="A4" t="s">
        <v>112</v>
      </c>
      <c r="B4" t="s">
        <v>3565</v>
      </c>
    </row>
    <row r="5" spans="1:2" ht="11.25" customHeight="1" x14ac:dyDescent="0.15">
      <c r="A5" t="s">
        <v>116</v>
      </c>
      <c r="B5" t="s">
        <v>3566</v>
      </c>
    </row>
    <row r="6" spans="1:2" ht="11.25" customHeight="1" x14ac:dyDescent="0.15">
      <c r="A6" t="s">
        <v>121</v>
      </c>
      <c r="B6" t="s">
        <v>3567</v>
      </c>
    </row>
    <row r="7" spans="1:2" ht="11.25" customHeight="1" x14ac:dyDescent="0.15">
      <c r="A7" t="s">
        <v>126</v>
      </c>
      <c r="B7" t="s">
        <v>3568</v>
      </c>
    </row>
    <row r="8" spans="1:2" ht="11.25" customHeight="1" x14ac:dyDescent="0.15">
      <c r="A8" t="s">
        <v>130</v>
      </c>
      <c r="B8" t="s">
        <v>3569</v>
      </c>
    </row>
    <row r="9" spans="1:2" ht="11.25" customHeight="1" x14ac:dyDescent="0.15">
      <c r="A9" t="s">
        <v>135</v>
      </c>
      <c r="B9" t="s">
        <v>3570</v>
      </c>
    </row>
    <row r="10" spans="1:2" ht="11.25" customHeight="1" x14ac:dyDescent="0.15">
      <c r="A10" t="s">
        <v>140</v>
      </c>
      <c r="B10" t="s">
        <v>3571</v>
      </c>
    </row>
    <row r="11" spans="1:2" ht="11.25" customHeight="1" x14ac:dyDescent="0.15">
      <c r="A11" t="s">
        <v>146</v>
      </c>
      <c r="B11" t="s">
        <v>3572</v>
      </c>
    </row>
    <row r="12" spans="1:2" ht="11.25" customHeight="1" x14ac:dyDescent="0.15">
      <c r="A12" t="s">
        <v>151</v>
      </c>
      <c r="B12" t="s">
        <v>3573</v>
      </c>
    </row>
    <row r="13" spans="1:2" ht="11.25" customHeight="1" x14ac:dyDescent="0.15">
      <c r="A13" t="s">
        <v>155</v>
      </c>
      <c r="B13" t="s">
        <v>3574</v>
      </c>
    </row>
    <row r="14" spans="1:2" ht="11.25" customHeight="1" x14ac:dyDescent="0.15">
      <c r="A14" t="s">
        <v>159</v>
      </c>
      <c r="B14" t="s">
        <v>3575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3576</v>
      </c>
      <c r="B1" t="s">
        <v>3577</v>
      </c>
    </row>
    <row r="2" spans="1:2" ht="11.25" customHeight="1" x14ac:dyDescent="0.15">
      <c r="A2">
        <v>4213775</v>
      </c>
      <c r="B2" t="s">
        <v>1343</v>
      </c>
    </row>
    <row r="3" spans="1:2" ht="11.25" customHeight="1" x14ac:dyDescent="0.15">
      <c r="A3">
        <v>4213784</v>
      </c>
      <c r="B3" t="s">
        <v>1377</v>
      </c>
    </row>
    <row r="4" spans="1:2" ht="11.25" customHeight="1" x14ac:dyDescent="0.15">
      <c r="A4">
        <v>4213781</v>
      </c>
      <c r="B4" t="s">
        <v>1370</v>
      </c>
    </row>
    <row r="5" spans="1:2" ht="11.25" customHeight="1" x14ac:dyDescent="0.15">
      <c r="A5">
        <v>4213776</v>
      </c>
      <c r="B5" t="s">
        <v>217</v>
      </c>
    </row>
    <row r="6" spans="1:2" ht="11.25" customHeight="1" x14ac:dyDescent="0.15">
      <c r="A6">
        <v>4213777</v>
      </c>
      <c r="B6" t="s">
        <v>223</v>
      </c>
    </row>
    <row r="7" spans="1:2" ht="11.25" customHeight="1" x14ac:dyDescent="0.15">
      <c r="A7">
        <v>4213778</v>
      </c>
      <c r="B7" t="s">
        <v>229</v>
      </c>
    </row>
    <row r="8" spans="1:2" ht="11.25" customHeight="1" x14ac:dyDescent="0.15">
      <c r="A8">
        <v>4213780</v>
      </c>
      <c r="B8" t="s">
        <v>235</v>
      </c>
    </row>
    <row r="9" spans="1:2" ht="11.25" customHeight="1" x14ac:dyDescent="0.15">
      <c r="A9">
        <v>4213779</v>
      </c>
      <c r="B9" t="s">
        <v>1510</v>
      </c>
    </row>
    <row r="10" spans="1:2" ht="11.25" customHeight="1" x14ac:dyDescent="0.15">
      <c r="A10">
        <v>4213783</v>
      </c>
      <c r="B10" t="s">
        <v>1525</v>
      </c>
    </row>
    <row r="11" spans="1:2" ht="11.25" customHeight="1" x14ac:dyDescent="0.15">
      <c r="A11">
        <v>4213782</v>
      </c>
      <c r="B11" t="s">
        <v>241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3576</v>
      </c>
      <c r="B1" t="s">
        <v>3578</v>
      </c>
    </row>
    <row r="2" spans="1:2" ht="11.25" customHeight="1" x14ac:dyDescent="0.15">
      <c r="A2" t="s">
        <v>3579</v>
      </c>
      <c r="B2" t="s">
        <v>1625</v>
      </c>
    </row>
    <row r="3" spans="1:2" ht="11.25" customHeight="1" x14ac:dyDescent="0.15">
      <c r="A3" t="s">
        <v>3580</v>
      </c>
      <c r="B3" t="s">
        <v>1634</v>
      </c>
    </row>
    <row r="4" spans="1:2" ht="11.25" customHeight="1" x14ac:dyDescent="0.15">
      <c r="A4" t="s">
        <v>3581</v>
      </c>
      <c r="B4" t="s">
        <v>1644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x14ac:dyDescent="0.15"/>
  <sheetData>
    <row r="1" spans="1:7" ht="11.25" customHeight="1" x14ac:dyDescent="0.15">
      <c r="A1" t="s">
        <v>3297</v>
      </c>
      <c r="B1" t="s">
        <v>3298</v>
      </c>
      <c r="C1" t="s">
        <v>3299</v>
      </c>
      <c r="D1" t="s">
        <v>3300</v>
      </c>
      <c r="E1" t="s">
        <v>3301</v>
      </c>
      <c r="F1" t="s">
        <v>3302</v>
      </c>
      <c r="G1" t="s">
        <v>3303</v>
      </c>
    </row>
    <row r="2" spans="1:7" ht="11.25" customHeight="1" x14ac:dyDescent="0.15">
      <c r="A2" t="s">
        <v>16</v>
      </c>
      <c r="B2" t="s">
        <v>102</v>
      </c>
      <c r="C2" t="s">
        <v>103</v>
      </c>
      <c r="D2" t="s">
        <v>102</v>
      </c>
      <c r="E2" t="s">
        <v>103</v>
      </c>
      <c r="F2" t="s">
        <v>3304</v>
      </c>
      <c r="G2" t="s">
        <v>101</v>
      </c>
    </row>
    <row r="3" spans="1:7" ht="11.25" customHeight="1" x14ac:dyDescent="0.15">
      <c r="A3" t="s">
        <v>16</v>
      </c>
      <c r="B3" t="s">
        <v>3305</v>
      </c>
      <c r="C3" t="s">
        <v>3306</v>
      </c>
      <c r="D3" t="s">
        <v>3305</v>
      </c>
      <c r="E3" t="s">
        <v>3306</v>
      </c>
      <c r="F3" t="s">
        <v>3307</v>
      </c>
      <c r="G3" t="s">
        <v>105</v>
      </c>
    </row>
    <row r="4" spans="1:7" ht="11.25" customHeight="1" x14ac:dyDescent="0.15">
      <c r="A4" t="s">
        <v>16</v>
      </c>
      <c r="B4" t="s">
        <v>3308</v>
      </c>
      <c r="C4" t="s">
        <v>3309</v>
      </c>
      <c r="D4" t="s">
        <v>3308</v>
      </c>
      <c r="E4" t="s">
        <v>3309</v>
      </c>
      <c r="F4" t="s">
        <v>3307</v>
      </c>
      <c r="G4" t="s">
        <v>92</v>
      </c>
    </row>
    <row r="5" spans="1:7" ht="11.25" customHeight="1" x14ac:dyDescent="0.15">
      <c r="A5" t="s">
        <v>16</v>
      </c>
      <c r="B5" t="s">
        <v>3310</v>
      </c>
      <c r="C5" t="s">
        <v>3311</v>
      </c>
      <c r="D5" t="s">
        <v>3310</v>
      </c>
      <c r="E5" t="s">
        <v>3311</v>
      </c>
      <c r="F5" t="s">
        <v>3307</v>
      </c>
      <c r="G5" t="s">
        <v>93</v>
      </c>
    </row>
    <row r="6" spans="1:7" ht="11.25" customHeight="1" x14ac:dyDescent="0.15">
      <c r="A6" t="s">
        <v>16</v>
      </c>
      <c r="B6" t="s">
        <v>156</v>
      </c>
      <c r="C6" t="s">
        <v>157</v>
      </c>
      <c r="D6" t="s">
        <v>156</v>
      </c>
      <c r="E6" t="s">
        <v>157</v>
      </c>
      <c r="F6" t="s">
        <v>3307</v>
      </c>
      <c r="G6" t="s">
        <v>120</v>
      </c>
    </row>
    <row r="7" spans="1:7" ht="11.25" customHeight="1" x14ac:dyDescent="0.15">
      <c r="A7" t="s">
        <v>16</v>
      </c>
      <c r="B7" t="s">
        <v>152</v>
      </c>
      <c r="C7" t="s">
        <v>153</v>
      </c>
      <c r="D7" t="s">
        <v>152</v>
      </c>
      <c r="E7" t="s">
        <v>153</v>
      </c>
      <c r="F7" t="s">
        <v>3307</v>
      </c>
      <c r="G7" t="s">
        <v>94</v>
      </c>
    </row>
    <row r="8" spans="1:7" ht="11.25" customHeight="1" x14ac:dyDescent="0.15">
      <c r="A8" t="s">
        <v>16</v>
      </c>
      <c r="B8" t="s">
        <v>3312</v>
      </c>
      <c r="C8" t="s">
        <v>3313</v>
      </c>
      <c r="D8" t="s">
        <v>3312</v>
      </c>
      <c r="E8" t="s">
        <v>3313</v>
      </c>
      <c r="F8" t="s">
        <v>3307</v>
      </c>
      <c r="G8" t="s">
        <v>95</v>
      </c>
    </row>
    <row r="9" spans="1:7" ht="11.25" customHeight="1" x14ac:dyDescent="0.15">
      <c r="A9" t="s">
        <v>16</v>
      </c>
      <c r="B9" t="s">
        <v>3314</v>
      </c>
      <c r="C9" t="s">
        <v>3315</v>
      </c>
      <c r="D9" t="s">
        <v>3316</v>
      </c>
      <c r="E9" t="s">
        <v>3317</v>
      </c>
      <c r="F9" t="s">
        <v>3318</v>
      </c>
      <c r="G9" t="s">
        <v>134</v>
      </c>
    </row>
    <row r="10" spans="1:7" ht="11.25" customHeight="1" x14ac:dyDescent="0.15">
      <c r="A10" t="s">
        <v>16</v>
      </c>
      <c r="B10" t="s">
        <v>3314</v>
      </c>
      <c r="C10" t="s">
        <v>3315</v>
      </c>
      <c r="D10" t="s">
        <v>3314</v>
      </c>
      <c r="E10" t="s">
        <v>3315</v>
      </c>
      <c r="F10" t="s">
        <v>3319</v>
      </c>
      <c r="G10" t="s">
        <v>139</v>
      </c>
    </row>
    <row r="11" spans="1:7" ht="11.25" customHeight="1" x14ac:dyDescent="0.15">
      <c r="A11" t="s">
        <v>16</v>
      </c>
      <c r="B11" t="s">
        <v>3314</v>
      </c>
      <c r="C11" t="s">
        <v>3315</v>
      </c>
      <c r="D11" t="s">
        <v>3320</v>
      </c>
      <c r="E11" t="s">
        <v>3321</v>
      </c>
      <c r="F11" t="s">
        <v>3318</v>
      </c>
      <c r="G11" t="s">
        <v>145</v>
      </c>
    </row>
    <row r="12" spans="1:7" ht="11.25" customHeight="1" x14ac:dyDescent="0.15">
      <c r="A12" t="s">
        <v>16</v>
      </c>
      <c r="B12" t="s">
        <v>3314</v>
      </c>
      <c r="C12" t="s">
        <v>3315</v>
      </c>
      <c r="D12" t="s">
        <v>3322</v>
      </c>
      <c r="E12" t="s">
        <v>3323</v>
      </c>
      <c r="F12" t="s">
        <v>3324</v>
      </c>
      <c r="G12" t="s">
        <v>150</v>
      </c>
    </row>
    <row r="13" spans="1:7" ht="11.25" customHeight="1" x14ac:dyDescent="0.15">
      <c r="A13" t="s">
        <v>16</v>
      </c>
      <c r="B13" t="s">
        <v>3314</v>
      </c>
      <c r="C13" t="s">
        <v>3315</v>
      </c>
      <c r="D13" t="s">
        <v>3325</v>
      </c>
      <c r="E13" t="s">
        <v>3326</v>
      </c>
      <c r="F13" t="s">
        <v>3318</v>
      </c>
      <c r="G13" t="s">
        <v>154</v>
      </c>
    </row>
    <row r="14" spans="1:7" ht="11.25" customHeight="1" x14ac:dyDescent="0.15">
      <c r="A14" t="s">
        <v>16</v>
      </c>
      <c r="B14" t="s">
        <v>3314</v>
      </c>
      <c r="C14" t="s">
        <v>3315</v>
      </c>
      <c r="D14" t="s">
        <v>3327</v>
      </c>
      <c r="E14" t="s">
        <v>3328</v>
      </c>
      <c r="F14" t="s">
        <v>3318</v>
      </c>
      <c r="G14" t="s">
        <v>158</v>
      </c>
    </row>
    <row r="15" spans="1:7" ht="11.25" customHeight="1" x14ac:dyDescent="0.15">
      <c r="A15" t="s">
        <v>16</v>
      </c>
      <c r="B15" t="s">
        <v>3314</v>
      </c>
      <c r="C15" t="s">
        <v>3315</v>
      </c>
      <c r="D15" t="s">
        <v>3329</v>
      </c>
      <c r="E15" t="s">
        <v>3330</v>
      </c>
      <c r="F15" t="s">
        <v>3318</v>
      </c>
      <c r="G15" t="s">
        <v>204</v>
      </c>
    </row>
    <row r="16" spans="1:7" ht="11.25" customHeight="1" x14ac:dyDescent="0.15">
      <c r="A16" t="s">
        <v>16</v>
      </c>
      <c r="B16" t="s">
        <v>3314</v>
      </c>
      <c r="C16" t="s">
        <v>3315</v>
      </c>
      <c r="D16" t="s">
        <v>3331</v>
      </c>
      <c r="E16" t="s">
        <v>3332</v>
      </c>
      <c r="F16" t="s">
        <v>3318</v>
      </c>
      <c r="G16" t="s">
        <v>1585</v>
      </c>
    </row>
    <row r="17" spans="1:7" ht="11.25" customHeight="1" x14ac:dyDescent="0.15">
      <c r="A17" t="s">
        <v>16</v>
      </c>
      <c r="B17" t="s">
        <v>114</v>
      </c>
      <c r="C17" t="s">
        <v>115</v>
      </c>
      <c r="D17" t="s">
        <v>114</v>
      </c>
      <c r="E17" t="s">
        <v>115</v>
      </c>
      <c r="F17" t="s">
        <v>3304</v>
      </c>
      <c r="G17" t="s">
        <v>113</v>
      </c>
    </row>
    <row r="18" spans="1:7" ht="11.25" customHeight="1" x14ac:dyDescent="0.15">
      <c r="A18" t="s">
        <v>16</v>
      </c>
      <c r="B18" t="s">
        <v>3333</v>
      </c>
      <c r="C18" t="s">
        <v>3334</v>
      </c>
      <c r="D18" t="s">
        <v>3335</v>
      </c>
      <c r="E18" t="s">
        <v>3336</v>
      </c>
      <c r="F18" t="s">
        <v>3318</v>
      </c>
      <c r="G18" t="s">
        <v>1602</v>
      </c>
    </row>
    <row r="19" spans="1:7" ht="11.25" customHeight="1" x14ac:dyDescent="0.15">
      <c r="A19" t="s">
        <v>16</v>
      </c>
      <c r="B19" t="s">
        <v>3333</v>
      </c>
      <c r="C19" t="s">
        <v>3334</v>
      </c>
      <c r="D19" t="s">
        <v>3337</v>
      </c>
      <c r="E19" t="s">
        <v>3338</v>
      </c>
      <c r="F19" t="s">
        <v>3339</v>
      </c>
      <c r="G19" t="s">
        <v>1616</v>
      </c>
    </row>
    <row r="20" spans="1:7" ht="11.25" customHeight="1" x14ac:dyDescent="0.15">
      <c r="A20" t="s">
        <v>16</v>
      </c>
      <c r="B20" t="s">
        <v>3333</v>
      </c>
      <c r="C20" t="s">
        <v>3334</v>
      </c>
      <c r="D20" t="s">
        <v>3333</v>
      </c>
      <c r="E20" t="s">
        <v>3334</v>
      </c>
      <c r="F20" t="s">
        <v>3319</v>
      </c>
      <c r="G20" t="s">
        <v>1628</v>
      </c>
    </row>
    <row r="21" spans="1:7" ht="11.25" customHeight="1" x14ac:dyDescent="0.15">
      <c r="A21" t="s">
        <v>16</v>
      </c>
      <c r="B21" t="s">
        <v>3333</v>
      </c>
      <c r="C21" t="s">
        <v>3334</v>
      </c>
      <c r="D21" t="s">
        <v>3340</v>
      </c>
      <c r="E21" t="s">
        <v>3341</v>
      </c>
      <c r="F21" t="s">
        <v>3339</v>
      </c>
      <c r="G21" t="s">
        <v>1637</v>
      </c>
    </row>
    <row r="22" spans="1:7" ht="11.25" customHeight="1" x14ac:dyDescent="0.15">
      <c r="A22" t="s">
        <v>16</v>
      </c>
      <c r="B22" t="s">
        <v>3333</v>
      </c>
      <c r="C22" t="s">
        <v>3334</v>
      </c>
      <c r="D22" t="s">
        <v>3342</v>
      </c>
      <c r="E22" t="s">
        <v>3343</v>
      </c>
      <c r="F22" t="s">
        <v>3318</v>
      </c>
      <c r="G22" t="s">
        <v>1653</v>
      </c>
    </row>
    <row r="23" spans="1:7" ht="11.25" customHeight="1" x14ac:dyDescent="0.15">
      <c r="A23" t="s">
        <v>16</v>
      </c>
      <c r="B23" t="s">
        <v>3333</v>
      </c>
      <c r="C23" t="s">
        <v>3334</v>
      </c>
      <c r="D23" t="s">
        <v>3344</v>
      </c>
      <c r="E23" t="s">
        <v>3345</v>
      </c>
      <c r="F23" t="s">
        <v>3324</v>
      </c>
      <c r="G23" t="s">
        <v>1660</v>
      </c>
    </row>
    <row r="24" spans="1:7" ht="11.25" customHeight="1" x14ac:dyDescent="0.15">
      <c r="A24" t="s">
        <v>16</v>
      </c>
      <c r="B24" t="s">
        <v>3333</v>
      </c>
      <c r="C24" t="s">
        <v>3334</v>
      </c>
      <c r="D24" t="s">
        <v>3346</v>
      </c>
      <c r="E24" t="s">
        <v>3347</v>
      </c>
      <c r="F24" t="s">
        <v>3318</v>
      </c>
      <c r="G24" t="s">
        <v>1668</v>
      </c>
    </row>
    <row r="25" spans="1:7" ht="11.25" customHeight="1" x14ac:dyDescent="0.15">
      <c r="A25" t="s">
        <v>16</v>
      </c>
      <c r="B25" t="s">
        <v>3333</v>
      </c>
      <c r="C25" t="s">
        <v>3334</v>
      </c>
      <c r="D25" t="s">
        <v>3348</v>
      </c>
      <c r="E25" t="s">
        <v>3349</v>
      </c>
      <c r="F25" t="s">
        <v>3318</v>
      </c>
      <c r="G25" t="s">
        <v>1675</v>
      </c>
    </row>
    <row r="26" spans="1:7" ht="11.25" customHeight="1" x14ac:dyDescent="0.15">
      <c r="A26" t="s">
        <v>16</v>
      </c>
      <c r="B26" t="s">
        <v>3350</v>
      </c>
      <c r="C26" t="s">
        <v>3351</v>
      </c>
      <c r="D26" t="s">
        <v>3350</v>
      </c>
      <c r="E26" t="s">
        <v>3351</v>
      </c>
      <c r="F26" t="s">
        <v>3304</v>
      </c>
      <c r="G26" t="s">
        <v>1679</v>
      </c>
    </row>
    <row r="27" spans="1:7" ht="11.25" customHeight="1" x14ac:dyDescent="0.15">
      <c r="A27" t="s">
        <v>16</v>
      </c>
      <c r="B27" t="s">
        <v>3352</v>
      </c>
      <c r="C27" t="s">
        <v>3353</v>
      </c>
      <c r="D27" t="s">
        <v>3354</v>
      </c>
      <c r="E27" t="s">
        <v>3355</v>
      </c>
      <c r="F27" t="s">
        <v>3339</v>
      </c>
      <c r="G27" t="s">
        <v>1684</v>
      </c>
    </row>
    <row r="28" spans="1:7" ht="11.25" customHeight="1" x14ac:dyDescent="0.15">
      <c r="A28" t="s">
        <v>16</v>
      </c>
      <c r="B28" t="s">
        <v>3352</v>
      </c>
      <c r="C28" t="s">
        <v>3353</v>
      </c>
      <c r="D28" t="s">
        <v>3356</v>
      </c>
      <c r="E28" t="s">
        <v>3357</v>
      </c>
      <c r="F28" t="s">
        <v>3318</v>
      </c>
      <c r="G28" t="s">
        <v>1692</v>
      </c>
    </row>
    <row r="29" spans="1:7" ht="11.25" customHeight="1" x14ac:dyDescent="0.15">
      <c r="A29" t="s">
        <v>16</v>
      </c>
      <c r="B29" t="s">
        <v>3352</v>
      </c>
      <c r="C29" t="s">
        <v>3353</v>
      </c>
      <c r="D29" t="s">
        <v>3358</v>
      </c>
      <c r="E29" t="s">
        <v>3359</v>
      </c>
      <c r="F29" t="s">
        <v>3318</v>
      </c>
      <c r="G29" t="s">
        <v>1694</v>
      </c>
    </row>
    <row r="30" spans="1:7" ht="11.25" customHeight="1" x14ac:dyDescent="0.15">
      <c r="A30" t="s">
        <v>16</v>
      </c>
      <c r="B30" t="s">
        <v>3352</v>
      </c>
      <c r="C30" t="s">
        <v>3353</v>
      </c>
      <c r="D30" t="s">
        <v>3360</v>
      </c>
      <c r="E30" t="s">
        <v>3361</v>
      </c>
      <c r="F30" t="s">
        <v>3318</v>
      </c>
      <c r="G30" t="s">
        <v>1697</v>
      </c>
    </row>
    <row r="31" spans="1:7" ht="11.25" customHeight="1" x14ac:dyDescent="0.15">
      <c r="A31" t="s">
        <v>16</v>
      </c>
      <c r="B31" t="s">
        <v>3352</v>
      </c>
      <c r="C31" t="s">
        <v>3353</v>
      </c>
      <c r="D31" t="s">
        <v>3362</v>
      </c>
      <c r="E31" t="s">
        <v>3363</v>
      </c>
      <c r="F31" t="s">
        <v>3318</v>
      </c>
      <c r="G31" t="s">
        <v>1702</v>
      </c>
    </row>
    <row r="32" spans="1:7" ht="11.25" customHeight="1" x14ac:dyDescent="0.15">
      <c r="A32" t="s">
        <v>16</v>
      </c>
      <c r="B32" t="s">
        <v>3352</v>
      </c>
      <c r="C32" t="s">
        <v>3353</v>
      </c>
      <c r="D32" t="s">
        <v>3352</v>
      </c>
      <c r="E32" t="s">
        <v>3353</v>
      </c>
      <c r="F32" t="s">
        <v>3319</v>
      </c>
      <c r="G32" t="s">
        <v>1704</v>
      </c>
    </row>
    <row r="33" spans="1:7" ht="11.25" customHeight="1" x14ac:dyDescent="0.15">
      <c r="A33" t="s">
        <v>16</v>
      </c>
      <c r="B33" t="s">
        <v>3352</v>
      </c>
      <c r="C33" t="s">
        <v>3353</v>
      </c>
      <c r="D33" t="s">
        <v>3364</v>
      </c>
      <c r="E33" t="s">
        <v>3365</v>
      </c>
      <c r="F33" t="s">
        <v>3318</v>
      </c>
      <c r="G33" t="s">
        <v>1706</v>
      </c>
    </row>
    <row r="34" spans="1:7" ht="11.25" customHeight="1" x14ac:dyDescent="0.15">
      <c r="A34" t="s">
        <v>16</v>
      </c>
      <c r="B34" t="s">
        <v>3352</v>
      </c>
      <c r="C34" t="s">
        <v>3353</v>
      </c>
      <c r="D34" t="s">
        <v>3366</v>
      </c>
      <c r="E34" t="s">
        <v>3367</v>
      </c>
      <c r="F34" t="s">
        <v>3318</v>
      </c>
      <c r="G34" t="s">
        <v>1708</v>
      </c>
    </row>
    <row r="35" spans="1:7" ht="11.25" customHeight="1" x14ac:dyDescent="0.15">
      <c r="A35" t="s">
        <v>16</v>
      </c>
      <c r="B35" t="s">
        <v>3352</v>
      </c>
      <c r="C35" t="s">
        <v>3353</v>
      </c>
      <c r="D35" t="s">
        <v>3368</v>
      </c>
      <c r="E35" t="s">
        <v>3369</v>
      </c>
      <c r="F35" t="s">
        <v>3318</v>
      </c>
      <c r="G35" t="s">
        <v>1713</v>
      </c>
    </row>
    <row r="36" spans="1:7" ht="11.25" customHeight="1" x14ac:dyDescent="0.15">
      <c r="A36" t="s">
        <v>16</v>
      </c>
      <c r="B36" t="s">
        <v>3352</v>
      </c>
      <c r="C36" t="s">
        <v>3353</v>
      </c>
      <c r="D36" t="s">
        <v>3370</v>
      </c>
      <c r="E36" t="s">
        <v>3371</v>
      </c>
      <c r="F36" t="s">
        <v>3318</v>
      </c>
      <c r="G36" t="s">
        <v>1718</v>
      </c>
    </row>
    <row r="37" spans="1:7" ht="11.25" customHeight="1" x14ac:dyDescent="0.15">
      <c r="A37" t="s">
        <v>16</v>
      </c>
      <c r="B37" t="s">
        <v>3352</v>
      </c>
      <c r="C37" t="s">
        <v>3353</v>
      </c>
      <c r="D37" t="s">
        <v>3372</v>
      </c>
      <c r="E37" t="s">
        <v>3373</v>
      </c>
      <c r="F37" t="s">
        <v>3318</v>
      </c>
      <c r="G37" t="s">
        <v>1722</v>
      </c>
    </row>
    <row r="38" spans="1:7" ht="11.25" customHeight="1" x14ac:dyDescent="0.15">
      <c r="A38" t="s">
        <v>16</v>
      </c>
      <c r="B38" t="s">
        <v>3374</v>
      </c>
      <c r="C38" t="s">
        <v>3375</v>
      </c>
      <c r="D38" t="s">
        <v>3374</v>
      </c>
      <c r="E38" t="s">
        <v>3375</v>
      </c>
      <c r="F38" t="s">
        <v>3304</v>
      </c>
      <c r="G38" t="s">
        <v>1730</v>
      </c>
    </row>
    <row r="39" spans="1:7" ht="11.25" customHeight="1" x14ac:dyDescent="0.15">
      <c r="A39" t="s">
        <v>16</v>
      </c>
      <c r="B39" t="s">
        <v>3376</v>
      </c>
      <c r="C39" t="s">
        <v>3377</v>
      </c>
      <c r="D39" t="s">
        <v>3376</v>
      </c>
      <c r="E39" t="s">
        <v>3377</v>
      </c>
      <c r="F39" t="s">
        <v>3307</v>
      </c>
      <c r="G39" t="s">
        <v>1736</v>
      </c>
    </row>
    <row r="40" spans="1:7" ht="11.25" customHeight="1" x14ac:dyDescent="0.15">
      <c r="A40" t="s">
        <v>16</v>
      </c>
      <c r="B40" t="s">
        <v>109</v>
      </c>
      <c r="C40" t="s">
        <v>3378</v>
      </c>
      <c r="D40" t="s">
        <v>3379</v>
      </c>
      <c r="E40" t="s">
        <v>3380</v>
      </c>
      <c r="F40" t="s">
        <v>3318</v>
      </c>
      <c r="G40" t="s">
        <v>1741</v>
      </c>
    </row>
    <row r="41" spans="1:7" ht="11.25" customHeight="1" x14ac:dyDescent="0.15">
      <c r="A41" t="s">
        <v>16</v>
      </c>
      <c r="B41" t="s">
        <v>109</v>
      </c>
      <c r="C41" t="s">
        <v>3378</v>
      </c>
      <c r="D41" t="s">
        <v>3381</v>
      </c>
      <c r="E41" t="s">
        <v>3382</v>
      </c>
      <c r="F41" t="s">
        <v>3318</v>
      </c>
      <c r="G41" t="s">
        <v>1745</v>
      </c>
    </row>
    <row r="42" spans="1:7" ht="11.25" customHeight="1" x14ac:dyDescent="0.15">
      <c r="A42" t="s">
        <v>16</v>
      </c>
      <c r="B42" t="s">
        <v>109</v>
      </c>
      <c r="C42" t="s">
        <v>3378</v>
      </c>
      <c r="D42" t="s">
        <v>3383</v>
      </c>
      <c r="E42" t="s">
        <v>3384</v>
      </c>
      <c r="F42" t="s">
        <v>3318</v>
      </c>
      <c r="G42" t="s">
        <v>1748</v>
      </c>
    </row>
    <row r="43" spans="1:7" ht="11.25" customHeight="1" x14ac:dyDescent="0.15">
      <c r="A43" t="s">
        <v>16</v>
      </c>
      <c r="B43" t="s">
        <v>109</v>
      </c>
      <c r="C43" t="s">
        <v>3378</v>
      </c>
      <c r="D43" t="s">
        <v>109</v>
      </c>
      <c r="E43" t="s">
        <v>3378</v>
      </c>
      <c r="F43" t="s">
        <v>3319</v>
      </c>
      <c r="G43" t="s">
        <v>1755</v>
      </c>
    </row>
    <row r="44" spans="1:7" ht="11.25" customHeight="1" x14ac:dyDescent="0.15">
      <c r="A44" t="s">
        <v>16</v>
      </c>
      <c r="B44" t="s">
        <v>109</v>
      </c>
      <c r="C44" t="s">
        <v>3378</v>
      </c>
      <c r="D44" t="s">
        <v>3385</v>
      </c>
      <c r="E44" t="s">
        <v>3386</v>
      </c>
      <c r="F44" t="s">
        <v>3318</v>
      </c>
      <c r="G44" t="s">
        <v>1764</v>
      </c>
    </row>
    <row r="45" spans="1:7" ht="11.25" customHeight="1" x14ac:dyDescent="0.15">
      <c r="A45" t="s">
        <v>16</v>
      </c>
      <c r="B45" t="s">
        <v>109</v>
      </c>
      <c r="C45" t="s">
        <v>3378</v>
      </c>
      <c r="D45" t="s">
        <v>110</v>
      </c>
      <c r="E45" t="s">
        <v>111</v>
      </c>
      <c r="F45" t="s">
        <v>3339</v>
      </c>
      <c r="G45" t="s">
        <v>108</v>
      </c>
    </row>
    <row r="46" spans="1:7" ht="11.25" customHeight="1" x14ac:dyDescent="0.15">
      <c r="A46" t="s">
        <v>16</v>
      </c>
      <c r="B46" t="s">
        <v>109</v>
      </c>
      <c r="C46" t="s">
        <v>3378</v>
      </c>
      <c r="D46" t="s">
        <v>3387</v>
      </c>
      <c r="E46" t="s">
        <v>3388</v>
      </c>
      <c r="F46" t="s">
        <v>3318</v>
      </c>
      <c r="G46" t="s">
        <v>1772</v>
      </c>
    </row>
    <row r="47" spans="1:7" ht="11.25" customHeight="1" x14ac:dyDescent="0.15">
      <c r="A47" t="s">
        <v>16</v>
      </c>
      <c r="B47" t="s">
        <v>109</v>
      </c>
      <c r="C47" t="s">
        <v>3378</v>
      </c>
      <c r="D47" t="s">
        <v>3389</v>
      </c>
      <c r="E47" t="s">
        <v>3390</v>
      </c>
      <c r="F47" t="s">
        <v>3318</v>
      </c>
      <c r="G47" t="s">
        <v>1778</v>
      </c>
    </row>
    <row r="48" spans="1:7" ht="11.25" customHeight="1" x14ac:dyDescent="0.15">
      <c r="A48" t="s">
        <v>16</v>
      </c>
      <c r="B48" t="s">
        <v>3391</v>
      </c>
      <c r="C48" t="s">
        <v>3392</v>
      </c>
      <c r="D48" t="s">
        <v>3391</v>
      </c>
      <c r="E48" t="s">
        <v>3392</v>
      </c>
      <c r="F48" t="s">
        <v>3319</v>
      </c>
      <c r="G48" t="s">
        <v>1782</v>
      </c>
    </row>
    <row r="49" spans="1:7" ht="11.25" customHeight="1" x14ac:dyDescent="0.15">
      <c r="A49" t="s">
        <v>16</v>
      </c>
      <c r="B49" t="s">
        <v>3391</v>
      </c>
      <c r="C49" t="s">
        <v>3392</v>
      </c>
      <c r="D49" t="s">
        <v>3393</v>
      </c>
      <c r="E49" t="s">
        <v>3394</v>
      </c>
      <c r="F49" t="s">
        <v>3318</v>
      </c>
      <c r="G49" t="s">
        <v>1785</v>
      </c>
    </row>
    <row r="50" spans="1:7" ht="11.25" customHeight="1" x14ac:dyDescent="0.15">
      <c r="A50" t="s">
        <v>16</v>
      </c>
      <c r="B50" t="s">
        <v>3391</v>
      </c>
      <c r="C50" t="s">
        <v>3392</v>
      </c>
      <c r="D50" t="s">
        <v>3395</v>
      </c>
      <c r="E50" t="s">
        <v>3396</v>
      </c>
      <c r="F50" t="s">
        <v>3318</v>
      </c>
      <c r="G50" t="s">
        <v>1789</v>
      </c>
    </row>
    <row r="51" spans="1:7" ht="11.25" customHeight="1" x14ac:dyDescent="0.15">
      <c r="A51" t="s">
        <v>16</v>
      </c>
      <c r="B51" t="s">
        <v>3391</v>
      </c>
      <c r="C51" t="s">
        <v>3392</v>
      </c>
      <c r="D51" t="s">
        <v>3397</v>
      </c>
      <c r="E51" t="s">
        <v>3398</v>
      </c>
      <c r="F51" t="s">
        <v>3318</v>
      </c>
      <c r="G51" t="s">
        <v>1793</v>
      </c>
    </row>
    <row r="52" spans="1:7" ht="11.25" customHeight="1" x14ac:dyDescent="0.15">
      <c r="A52" t="s">
        <v>16</v>
      </c>
      <c r="B52" t="s">
        <v>3399</v>
      </c>
      <c r="C52" t="s">
        <v>3400</v>
      </c>
      <c r="D52" t="s">
        <v>3399</v>
      </c>
      <c r="E52" t="s">
        <v>3400</v>
      </c>
      <c r="F52" t="s">
        <v>3307</v>
      </c>
      <c r="G52" t="s">
        <v>1797</v>
      </c>
    </row>
    <row r="53" spans="1:7" ht="11.25" customHeight="1" x14ac:dyDescent="0.15">
      <c r="A53" t="s">
        <v>16</v>
      </c>
      <c r="B53" t="s">
        <v>3401</v>
      </c>
      <c r="C53" t="s">
        <v>3402</v>
      </c>
      <c r="D53" t="s">
        <v>3401</v>
      </c>
      <c r="E53" t="s">
        <v>3402</v>
      </c>
      <c r="F53" t="s">
        <v>3304</v>
      </c>
      <c r="G53" t="s">
        <v>1799</v>
      </c>
    </row>
    <row r="54" spans="1:7" ht="11.25" customHeight="1" x14ac:dyDescent="0.15">
      <c r="A54" t="s">
        <v>16</v>
      </c>
      <c r="B54" t="s">
        <v>3403</v>
      </c>
      <c r="C54" t="s">
        <v>3404</v>
      </c>
      <c r="D54" t="s">
        <v>3403</v>
      </c>
      <c r="E54" t="s">
        <v>3404</v>
      </c>
      <c r="F54" t="s">
        <v>3304</v>
      </c>
      <c r="G54" t="s">
        <v>1802</v>
      </c>
    </row>
    <row r="55" spans="1:7" ht="11.25" customHeight="1" x14ac:dyDescent="0.15">
      <c r="A55" t="s">
        <v>16</v>
      </c>
      <c r="B55" t="s">
        <v>3405</v>
      </c>
      <c r="C55" t="s">
        <v>3406</v>
      </c>
      <c r="D55" t="s">
        <v>3405</v>
      </c>
      <c r="E55" t="s">
        <v>3406</v>
      </c>
      <c r="F55" t="s">
        <v>3307</v>
      </c>
      <c r="G55" t="s">
        <v>1807</v>
      </c>
    </row>
    <row r="56" spans="1:7" ht="11.25" customHeight="1" x14ac:dyDescent="0.15">
      <c r="A56" t="s">
        <v>16</v>
      </c>
      <c r="B56" t="s">
        <v>3407</v>
      </c>
      <c r="C56" t="s">
        <v>3408</v>
      </c>
      <c r="D56" t="s">
        <v>3407</v>
      </c>
      <c r="E56" t="s">
        <v>3408</v>
      </c>
      <c r="F56" t="s">
        <v>3304</v>
      </c>
      <c r="G56" t="s">
        <v>1810</v>
      </c>
    </row>
    <row r="57" spans="1:7" ht="11.25" customHeight="1" x14ac:dyDescent="0.15">
      <c r="A57" t="s">
        <v>16</v>
      </c>
      <c r="B57" t="s">
        <v>3409</v>
      </c>
      <c r="C57" t="s">
        <v>3410</v>
      </c>
      <c r="D57" t="s">
        <v>3411</v>
      </c>
      <c r="E57" t="s">
        <v>3412</v>
      </c>
      <c r="F57" t="s">
        <v>3318</v>
      </c>
      <c r="G57" t="s">
        <v>1813</v>
      </c>
    </row>
    <row r="58" spans="1:7" ht="11.25" customHeight="1" x14ac:dyDescent="0.15">
      <c r="A58" t="s">
        <v>16</v>
      </c>
      <c r="B58" t="s">
        <v>3409</v>
      </c>
      <c r="C58" t="s">
        <v>3410</v>
      </c>
      <c r="D58" t="s">
        <v>3413</v>
      </c>
      <c r="E58" t="s">
        <v>3414</v>
      </c>
      <c r="F58" t="s">
        <v>3318</v>
      </c>
      <c r="G58" t="s">
        <v>1816</v>
      </c>
    </row>
    <row r="59" spans="1:7" ht="11.25" customHeight="1" x14ac:dyDescent="0.15">
      <c r="A59" t="s">
        <v>16</v>
      </c>
      <c r="B59" t="s">
        <v>3409</v>
      </c>
      <c r="C59" t="s">
        <v>3410</v>
      </c>
      <c r="D59" t="s">
        <v>3415</v>
      </c>
      <c r="E59" t="s">
        <v>3416</v>
      </c>
      <c r="F59" t="s">
        <v>3318</v>
      </c>
      <c r="G59" t="s">
        <v>1820</v>
      </c>
    </row>
    <row r="60" spans="1:7" ht="11.25" customHeight="1" x14ac:dyDescent="0.15">
      <c r="A60" t="s">
        <v>16</v>
      </c>
      <c r="B60" t="s">
        <v>3409</v>
      </c>
      <c r="C60" t="s">
        <v>3410</v>
      </c>
      <c r="D60" t="s">
        <v>3417</v>
      </c>
      <c r="E60" t="s">
        <v>3418</v>
      </c>
      <c r="F60" t="s">
        <v>3324</v>
      </c>
      <c r="G60" t="s">
        <v>1823</v>
      </c>
    </row>
    <row r="61" spans="1:7" ht="11.25" customHeight="1" x14ac:dyDescent="0.15">
      <c r="A61" t="s">
        <v>16</v>
      </c>
      <c r="B61" t="s">
        <v>3409</v>
      </c>
      <c r="C61" t="s">
        <v>3410</v>
      </c>
      <c r="D61" t="s">
        <v>3419</v>
      </c>
      <c r="E61" t="s">
        <v>3420</v>
      </c>
      <c r="F61" t="s">
        <v>3318</v>
      </c>
      <c r="G61" t="s">
        <v>3421</v>
      </c>
    </row>
    <row r="62" spans="1:7" ht="11.25" customHeight="1" x14ac:dyDescent="0.15">
      <c r="A62" t="s">
        <v>16</v>
      </c>
      <c r="B62" t="s">
        <v>3409</v>
      </c>
      <c r="C62" t="s">
        <v>3410</v>
      </c>
      <c r="D62" t="s">
        <v>3422</v>
      </c>
      <c r="E62" t="s">
        <v>3423</v>
      </c>
      <c r="F62" t="s">
        <v>3318</v>
      </c>
      <c r="G62" t="s">
        <v>3424</v>
      </c>
    </row>
    <row r="63" spans="1:7" ht="11.25" customHeight="1" x14ac:dyDescent="0.15">
      <c r="A63" t="s">
        <v>16</v>
      </c>
      <c r="B63" t="s">
        <v>3409</v>
      </c>
      <c r="C63" t="s">
        <v>3410</v>
      </c>
      <c r="D63" t="s">
        <v>3409</v>
      </c>
      <c r="E63" t="s">
        <v>3410</v>
      </c>
      <c r="F63" t="s">
        <v>3319</v>
      </c>
      <c r="G63" t="s">
        <v>3425</v>
      </c>
    </row>
    <row r="64" spans="1:7" ht="11.25" customHeight="1" x14ac:dyDescent="0.15">
      <c r="A64" t="s">
        <v>16</v>
      </c>
      <c r="B64" t="s">
        <v>3409</v>
      </c>
      <c r="C64" t="s">
        <v>3410</v>
      </c>
      <c r="D64" t="s">
        <v>3426</v>
      </c>
      <c r="E64" t="s">
        <v>3427</v>
      </c>
      <c r="F64" t="s">
        <v>3318</v>
      </c>
      <c r="G64" t="s">
        <v>3428</v>
      </c>
    </row>
    <row r="65" spans="1:7" ht="11.25" customHeight="1" x14ac:dyDescent="0.15">
      <c r="A65" t="s">
        <v>16</v>
      </c>
      <c r="B65" t="s">
        <v>3429</v>
      </c>
      <c r="C65" t="s">
        <v>3430</v>
      </c>
      <c r="D65" t="s">
        <v>3429</v>
      </c>
      <c r="E65" t="s">
        <v>3430</v>
      </c>
      <c r="F65" t="s">
        <v>3304</v>
      </c>
      <c r="G65" t="s">
        <v>3431</v>
      </c>
    </row>
    <row r="66" spans="1:7" ht="11.25" customHeight="1" x14ac:dyDescent="0.15">
      <c r="A66" t="s">
        <v>16</v>
      </c>
      <c r="B66" t="s">
        <v>3432</v>
      </c>
      <c r="C66" t="s">
        <v>3433</v>
      </c>
      <c r="D66" t="s">
        <v>3432</v>
      </c>
      <c r="E66" t="s">
        <v>3433</v>
      </c>
      <c r="F66" t="s">
        <v>3304</v>
      </c>
      <c r="G66" t="s">
        <v>3434</v>
      </c>
    </row>
    <row r="67" spans="1:7" ht="11.25" customHeight="1" x14ac:dyDescent="0.15">
      <c r="A67" t="s">
        <v>16</v>
      </c>
      <c r="B67" t="s">
        <v>3435</v>
      </c>
      <c r="C67" t="s">
        <v>3436</v>
      </c>
      <c r="D67" t="s">
        <v>3437</v>
      </c>
      <c r="E67" t="s">
        <v>3438</v>
      </c>
      <c r="F67" t="s">
        <v>3318</v>
      </c>
      <c r="G67" t="s">
        <v>2142</v>
      </c>
    </row>
    <row r="68" spans="1:7" ht="11.25" customHeight="1" x14ac:dyDescent="0.15">
      <c r="A68" t="s">
        <v>16</v>
      </c>
      <c r="B68" t="s">
        <v>3435</v>
      </c>
      <c r="C68" t="s">
        <v>3436</v>
      </c>
      <c r="D68" t="s">
        <v>3439</v>
      </c>
      <c r="E68" t="s">
        <v>3440</v>
      </c>
      <c r="F68" t="s">
        <v>3318</v>
      </c>
      <c r="G68" t="s">
        <v>3441</v>
      </c>
    </row>
    <row r="69" spans="1:7" ht="11.25" customHeight="1" x14ac:dyDescent="0.15">
      <c r="A69" t="s">
        <v>16</v>
      </c>
      <c r="B69" t="s">
        <v>3435</v>
      </c>
      <c r="C69" t="s">
        <v>3436</v>
      </c>
      <c r="D69" t="s">
        <v>3442</v>
      </c>
      <c r="E69" t="s">
        <v>3443</v>
      </c>
      <c r="F69" t="s">
        <v>3318</v>
      </c>
      <c r="G69" t="s">
        <v>2345</v>
      </c>
    </row>
    <row r="70" spans="1:7" ht="11.25" customHeight="1" x14ac:dyDescent="0.15">
      <c r="A70" t="s">
        <v>16</v>
      </c>
      <c r="B70" t="s">
        <v>3435</v>
      </c>
      <c r="C70" t="s">
        <v>3436</v>
      </c>
      <c r="D70" t="s">
        <v>3444</v>
      </c>
      <c r="E70" t="s">
        <v>3445</v>
      </c>
      <c r="F70" t="s">
        <v>3318</v>
      </c>
      <c r="G70" t="s">
        <v>3446</v>
      </c>
    </row>
    <row r="71" spans="1:7" ht="11.25" customHeight="1" x14ac:dyDescent="0.15">
      <c r="A71" t="s">
        <v>16</v>
      </c>
      <c r="B71" t="s">
        <v>3435</v>
      </c>
      <c r="C71" t="s">
        <v>3436</v>
      </c>
      <c r="D71" t="s">
        <v>3447</v>
      </c>
      <c r="E71" t="s">
        <v>3448</v>
      </c>
      <c r="F71" t="s">
        <v>3318</v>
      </c>
      <c r="G71" t="s">
        <v>3449</v>
      </c>
    </row>
    <row r="72" spans="1:7" ht="11.25" customHeight="1" x14ac:dyDescent="0.15">
      <c r="A72" t="s">
        <v>16</v>
      </c>
      <c r="B72" t="s">
        <v>3435</v>
      </c>
      <c r="C72" t="s">
        <v>3436</v>
      </c>
      <c r="D72" t="s">
        <v>3435</v>
      </c>
      <c r="E72" t="s">
        <v>3436</v>
      </c>
      <c r="F72" t="s">
        <v>3319</v>
      </c>
      <c r="G72" t="s">
        <v>3450</v>
      </c>
    </row>
    <row r="73" spans="1:7" ht="11.25" customHeight="1" x14ac:dyDescent="0.15">
      <c r="A73" t="s">
        <v>16</v>
      </c>
      <c r="B73" t="s">
        <v>3435</v>
      </c>
      <c r="C73" t="s">
        <v>3436</v>
      </c>
      <c r="D73" t="s">
        <v>3451</v>
      </c>
      <c r="E73" t="s">
        <v>3452</v>
      </c>
      <c r="F73" t="s">
        <v>3318</v>
      </c>
      <c r="G73" t="s">
        <v>3453</v>
      </c>
    </row>
    <row r="74" spans="1:7" ht="11.25" customHeight="1" x14ac:dyDescent="0.15">
      <c r="A74" t="s">
        <v>16</v>
      </c>
      <c r="B74" t="s">
        <v>3435</v>
      </c>
      <c r="C74" t="s">
        <v>3436</v>
      </c>
      <c r="D74" t="s">
        <v>3454</v>
      </c>
      <c r="E74" t="s">
        <v>3455</v>
      </c>
      <c r="F74" t="s">
        <v>3318</v>
      </c>
      <c r="G74" t="s">
        <v>3456</v>
      </c>
    </row>
    <row r="75" spans="1:7" ht="11.25" customHeight="1" x14ac:dyDescent="0.15">
      <c r="A75" t="s">
        <v>16</v>
      </c>
      <c r="B75" t="s">
        <v>3435</v>
      </c>
      <c r="C75" t="s">
        <v>3436</v>
      </c>
      <c r="D75" t="s">
        <v>3457</v>
      </c>
      <c r="E75" t="s">
        <v>3458</v>
      </c>
      <c r="F75" t="s">
        <v>3318</v>
      </c>
      <c r="G75" t="s">
        <v>3459</v>
      </c>
    </row>
    <row r="76" spans="1:7" ht="11.25" customHeight="1" x14ac:dyDescent="0.15">
      <c r="A76" t="s">
        <v>16</v>
      </c>
      <c r="B76" t="s">
        <v>3460</v>
      </c>
      <c r="C76" t="s">
        <v>3461</v>
      </c>
      <c r="D76" t="s">
        <v>3460</v>
      </c>
      <c r="E76" t="s">
        <v>3461</v>
      </c>
      <c r="F76" t="s">
        <v>3304</v>
      </c>
      <c r="G76" t="s">
        <v>3462</v>
      </c>
    </row>
    <row r="77" spans="1:7" ht="11.25" customHeight="1" x14ac:dyDescent="0.15">
      <c r="A77" t="s">
        <v>16</v>
      </c>
      <c r="B77" t="s">
        <v>3463</v>
      </c>
      <c r="C77" t="s">
        <v>3464</v>
      </c>
      <c r="D77" t="s">
        <v>3463</v>
      </c>
      <c r="E77" t="s">
        <v>3464</v>
      </c>
      <c r="F77" t="s">
        <v>3307</v>
      </c>
      <c r="G77" t="s">
        <v>3465</v>
      </c>
    </row>
    <row r="78" spans="1:7" ht="11.25" customHeight="1" x14ac:dyDescent="0.15">
      <c r="A78" t="s">
        <v>16</v>
      </c>
      <c r="B78" t="s">
        <v>3466</v>
      </c>
      <c r="C78" t="s">
        <v>3467</v>
      </c>
      <c r="D78" t="s">
        <v>3466</v>
      </c>
      <c r="E78" t="s">
        <v>3467</v>
      </c>
      <c r="F78" t="s">
        <v>3304</v>
      </c>
      <c r="G78" t="s">
        <v>3468</v>
      </c>
    </row>
    <row r="79" spans="1:7" ht="11.25" customHeight="1" x14ac:dyDescent="0.15">
      <c r="A79" t="s">
        <v>16</v>
      </c>
      <c r="B79" t="s">
        <v>3469</v>
      </c>
      <c r="C79" t="s">
        <v>3470</v>
      </c>
      <c r="D79" t="s">
        <v>3469</v>
      </c>
      <c r="E79" t="s">
        <v>3470</v>
      </c>
      <c r="F79" t="s">
        <v>3304</v>
      </c>
      <c r="G79" t="s">
        <v>3471</v>
      </c>
    </row>
    <row r="80" spans="1:7" ht="11.25" customHeight="1" x14ac:dyDescent="0.15">
      <c r="A80" t="s">
        <v>16</v>
      </c>
      <c r="B80" t="s">
        <v>137</v>
      </c>
      <c r="C80" t="s">
        <v>138</v>
      </c>
      <c r="D80" t="s">
        <v>137</v>
      </c>
      <c r="E80" t="s">
        <v>138</v>
      </c>
      <c r="F80" t="s">
        <v>3304</v>
      </c>
      <c r="G80" t="s">
        <v>136</v>
      </c>
    </row>
    <row r="81" spans="1:7" ht="11.25" customHeight="1" x14ac:dyDescent="0.15">
      <c r="A81" t="s">
        <v>16</v>
      </c>
      <c r="B81" t="s">
        <v>123</v>
      </c>
      <c r="C81" t="s">
        <v>3472</v>
      </c>
      <c r="D81" t="s">
        <v>124</v>
      </c>
      <c r="E81" t="s">
        <v>125</v>
      </c>
      <c r="F81" t="s">
        <v>3318</v>
      </c>
      <c r="G81" t="s">
        <v>122</v>
      </c>
    </row>
    <row r="82" spans="1:7" ht="11.25" customHeight="1" x14ac:dyDescent="0.15">
      <c r="A82" t="s">
        <v>16</v>
      </c>
      <c r="B82" t="s">
        <v>123</v>
      </c>
      <c r="C82" t="s">
        <v>3472</v>
      </c>
      <c r="D82" t="s">
        <v>3473</v>
      </c>
      <c r="E82" t="s">
        <v>3474</v>
      </c>
      <c r="F82" t="s">
        <v>3324</v>
      </c>
      <c r="G82" t="s">
        <v>3475</v>
      </c>
    </row>
    <row r="83" spans="1:7" ht="11.25" customHeight="1" x14ac:dyDescent="0.15">
      <c r="A83" t="s">
        <v>16</v>
      </c>
      <c r="B83" t="s">
        <v>123</v>
      </c>
      <c r="C83" t="s">
        <v>3472</v>
      </c>
      <c r="D83" t="s">
        <v>128</v>
      </c>
      <c r="E83" t="s">
        <v>129</v>
      </c>
      <c r="F83" t="s">
        <v>3318</v>
      </c>
      <c r="G83" t="s">
        <v>127</v>
      </c>
    </row>
    <row r="84" spans="1:7" ht="11.25" customHeight="1" x14ac:dyDescent="0.15">
      <c r="A84" t="s">
        <v>16</v>
      </c>
      <c r="B84" t="s">
        <v>123</v>
      </c>
      <c r="C84" t="s">
        <v>3472</v>
      </c>
      <c r="D84" t="s">
        <v>3476</v>
      </c>
      <c r="E84" t="s">
        <v>3477</v>
      </c>
      <c r="F84" t="s">
        <v>3339</v>
      </c>
      <c r="G84" t="s">
        <v>3478</v>
      </c>
    </row>
    <row r="85" spans="1:7" ht="11.25" customHeight="1" x14ac:dyDescent="0.15">
      <c r="A85" t="s">
        <v>16</v>
      </c>
      <c r="B85" t="s">
        <v>123</v>
      </c>
      <c r="C85" t="s">
        <v>3472</v>
      </c>
      <c r="D85" t="s">
        <v>132</v>
      </c>
      <c r="E85" t="s">
        <v>133</v>
      </c>
      <c r="F85" t="s">
        <v>3318</v>
      </c>
      <c r="G85" t="s">
        <v>131</v>
      </c>
    </row>
    <row r="86" spans="1:7" ht="11.25" customHeight="1" x14ac:dyDescent="0.15">
      <c r="A86" t="s">
        <v>16</v>
      </c>
      <c r="B86" t="s">
        <v>123</v>
      </c>
      <c r="C86" t="s">
        <v>3472</v>
      </c>
      <c r="D86" t="s">
        <v>123</v>
      </c>
      <c r="E86" t="s">
        <v>3472</v>
      </c>
      <c r="F86" t="s">
        <v>3319</v>
      </c>
      <c r="G86" t="s">
        <v>3479</v>
      </c>
    </row>
    <row r="87" spans="1:7" ht="11.25" customHeight="1" x14ac:dyDescent="0.15">
      <c r="A87" t="s">
        <v>16</v>
      </c>
      <c r="B87" t="s">
        <v>123</v>
      </c>
      <c r="C87" t="s">
        <v>3472</v>
      </c>
      <c r="D87" t="s">
        <v>3480</v>
      </c>
      <c r="E87" t="s">
        <v>3481</v>
      </c>
      <c r="F87" t="s">
        <v>3318</v>
      </c>
      <c r="G87" t="s">
        <v>3482</v>
      </c>
    </row>
    <row r="88" spans="1:7" ht="11.25" customHeight="1" x14ac:dyDescent="0.15">
      <c r="A88" t="s">
        <v>16</v>
      </c>
      <c r="B88" t="s">
        <v>3483</v>
      </c>
      <c r="C88" t="s">
        <v>3484</v>
      </c>
      <c r="D88" t="s">
        <v>3483</v>
      </c>
      <c r="E88" t="s">
        <v>3484</v>
      </c>
      <c r="F88" t="s">
        <v>3304</v>
      </c>
      <c r="G88" t="s">
        <v>3485</v>
      </c>
    </row>
    <row r="89" spans="1:7" ht="11.25" customHeight="1" x14ac:dyDescent="0.15">
      <c r="A89" t="s">
        <v>16</v>
      </c>
      <c r="B89" t="s">
        <v>148</v>
      </c>
      <c r="C89" t="s">
        <v>149</v>
      </c>
      <c r="D89" t="s">
        <v>148</v>
      </c>
      <c r="E89" t="s">
        <v>149</v>
      </c>
      <c r="F89" t="s">
        <v>3304</v>
      </c>
      <c r="G89" t="s">
        <v>147</v>
      </c>
    </row>
    <row r="90" spans="1:7" ht="11.25" customHeight="1" x14ac:dyDescent="0.15">
      <c r="A90" t="s">
        <v>16</v>
      </c>
      <c r="B90" t="s">
        <v>142</v>
      </c>
      <c r="C90" t="s">
        <v>3486</v>
      </c>
      <c r="D90" t="s">
        <v>3487</v>
      </c>
      <c r="E90" t="s">
        <v>3488</v>
      </c>
      <c r="F90" t="s">
        <v>3318</v>
      </c>
      <c r="G90" t="s">
        <v>3489</v>
      </c>
    </row>
    <row r="91" spans="1:7" ht="11.25" customHeight="1" x14ac:dyDescent="0.15">
      <c r="A91" t="s">
        <v>16</v>
      </c>
      <c r="B91" t="s">
        <v>142</v>
      </c>
      <c r="C91" t="s">
        <v>3486</v>
      </c>
      <c r="D91" t="s">
        <v>3490</v>
      </c>
      <c r="E91" t="s">
        <v>3491</v>
      </c>
      <c r="F91" t="s">
        <v>3318</v>
      </c>
      <c r="G91" t="s">
        <v>3492</v>
      </c>
    </row>
    <row r="92" spans="1:7" ht="11.25" customHeight="1" x14ac:dyDescent="0.15">
      <c r="A92" t="s">
        <v>16</v>
      </c>
      <c r="B92" t="s">
        <v>142</v>
      </c>
      <c r="C92" t="s">
        <v>3486</v>
      </c>
      <c r="D92" t="s">
        <v>143</v>
      </c>
      <c r="E92" t="s">
        <v>144</v>
      </c>
      <c r="F92" t="s">
        <v>3318</v>
      </c>
      <c r="G92" t="s">
        <v>141</v>
      </c>
    </row>
    <row r="93" spans="1:7" ht="11.25" customHeight="1" x14ac:dyDescent="0.15">
      <c r="A93" t="s">
        <v>16</v>
      </c>
      <c r="B93" t="s">
        <v>142</v>
      </c>
      <c r="C93" t="s">
        <v>3486</v>
      </c>
      <c r="D93" t="s">
        <v>3493</v>
      </c>
      <c r="E93" t="s">
        <v>3494</v>
      </c>
      <c r="F93" t="s">
        <v>3339</v>
      </c>
      <c r="G93" t="s">
        <v>3495</v>
      </c>
    </row>
    <row r="94" spans="1:7" ht="11.25" customHeight="1" x14ac:dyDescent="0.15">
      <c r="A94" t="s">
        <v>16</v>
      </c>
      <c r="B94" t="s">
        <v>142</v>
      </c>
      <c r="C94" t="s">
        <v>3486</v>
      </c>
      <c r="D94" t="s">
        <v>3496</v>
      </c>
      <c r="E94" t="s">
        <v>3497</v>
      </c>
      <c r="F94" t="s">
        <v>3318</v>
      </c>
      <c r="G94" t="s">
        <v>3498</v>
      </c>
    </row>
    <row r="95" spans="1:7" ht="11.25" customHeight="1" x14ac:dyDescent="0.15">
      <c r="A95" t="s">
        <v>16</v>
      </c>
      <c r="B95" t="s">
        <v>142</v>
      </c>
      <c r="C95" t="s">
        <v>3486</v>
      </c>
      <c r="D95" t="s">
        <v>142</v>
      </c>
      <c r="E95" t="s">
        <v>3486</v>
      </c>
      <c r="F95" t="s">
        <v>3319</v>
      </c>
      <c r="G95" t="s">
        <v>3499</v>
      </c>
    </row>
    <row r="96" spans="1:7" ht="11.25" customHeight="1" x14ac:dyDescent="0.15">
      <c r="A96" t="s">
        <v>16</v>
      </c>
      <c r="B96" t="s">
        <v>142</v>
      </c>
      <c r="C96" t="s">
        <v>3486</v>
      </c>
      <c r="D96" t="s">
        <v>3500</v>
      </c>
      <c r="E96" t="s">
        <v>3501</v>
      </c>
      <c r="F96" t="s">
        <v>3339</v>
      </c>
      <c r="G96" t="s">
        <v>3502</v>
      </c>
    </row>
    <row r="97" spans="1:7" ht="11.25" customHeight="1" x14ac:dyDescent="0.15">
      <c r="A97" t="s">
        <v>16</v>
      </c>
      <c r="B97" t="s">
        <v>142</v>
      </c>
      <c r="C97" t="s">
        <v>3486</v>
      </c>
      <c r="D97" t="s">
        <v>3503</v>
      </c>
      <c r="E97" t="s">
        <v>3504</v>
      </c>
      <c r="F97" t="s">
        <v>3318</v>
      </c>
      <c r="G97" t="s">
        <v>3505</v>
      </c>
    </row>
    <row r="98" spans="1:7" ht="11.25" customHeight="1" x14ac:dyDescent="0.15">
      <c r="A98" t="s">
        <v>16</v>
      </c>
      <c r="B98" t="s">
        <v>3506</v>
      </c>
      <c r="C98" t="s">
        <v>3507</v>
      </c>
      <c r="D98" t="s">
        <v>3506</v>
      </c>
      <c r="E98" t="s">
        <v>3507</v>
      </c>
      <c r="F98" t="s">
        <v>3304</v>
      </c>
      <c r="G98" t="s">
        <v>3508</v>
      </c>
    </row>
    <row r="99" spans="1:7" ht="11.25" customHeight="1" x14ac:dyDescent="0.15">
      <c r="A99" t="s">
        <v>16</v>
      </c>
      <c r="B99" t="s">
        <v>3509</v>
      </c>
      <c r="C99" t="s">
        <v>3510</v>
      </c>
      <c r="D99" t="s">
        <v>3511</v>
      </c>
      <c r="E99" t="s">
        <v>3512</v>
      </c>
      <c r="F99" t="s">
        <v>3318</v>
      </c>
      <c r="G99" t="s">
        <v>3513</v>
      </c>
    </row>
    <row r="100" spans="1:7" ht="11.25" customHeight="1" x14ac:dyDescent="0.15">
      <c r="A100" t="s">
        <v>16</v>
      </c>
      <c r="B100" t="s">
        <v>3509</v>
      </c>
      <c r="C100" t="s">
        <v>3510</v>
      </c>
      <c r="D100" t="s">
        <v>3514</v>
      </c>
      <c r="E100" t="s">
        <v>3515</v>
      </c>
      <c r="F100" t="s">
        <v>3318</v>
      </c>
      <c r="G100" t="s">
        <v>3516</v>
      </c>
    </row>
    <row r="101" spans="1:7" ht="11.25" customHeight="1" x14ac:dyDescent="0.15">
      <c r="A101" t="s">
        <v>16</v>
      </c>
      <c r="B101" t="s">
        <v>3509</v>
      </c>
      <c r="C101" t="s">
        <v>3510</v>
      </c>
      <c r="D101" t="s">
        <v>3517</v>
      </c>
      <c r="E101" t="s">
        <v>3518</v>
      </c>
      <c r="F101" t="s">
        <v>3318</v>
      </c>
      <c r="G101" t="s">
        <v>3519</v>
      </c>
    </row>
    <row r="102" spans="1:7" ht="11.25" customHeight="1" x14ac:dyDescent="0.15">
      <c r="A102" t="s">
        <v>16</v>
      </c>
      <c r="B102" t="s">
        <v>3509</v>
      </c>
      <c r="C102" t="s">
        <v>3510</v>
      </c>
      <c r="D102" t="s">
        <v>3520</v>
      </c>
      <c r="E102" t="s">
        <v>3521</v>
      </c>
      <c r="F102" t="s">
        <v>3318</v>
      </c>
      <c r="G102" t="s">
        <v>3522</v>
      </c>
    </row>
    <row r="103" spans="1:7" ht="11.25" customHeight="1" x14ac:dyDescent="0.15">
      <c r="A103" t="s">
        <v>16</v>
      </c>
      <c r="B103" t="s">
        <v>3509</v>
      </c>
      <c r="C103" t="s">
        <v>3510</v>
      </c>
      <c r="D103" t="s">
        <v>3509</v>
      </c>
      <c r="E103" t="s">
        <v>3510</v>
      </c>
      <c r="F103" t="s">
        <v>3319</v>
      </c>
      <c r="G103" t="s">
        <v>3523</v>
      </c>
    </row>
    <row r="104" spans="1:7" ht="11.25" customHeight="1" x14ac:dyDescent="0.15">
      <c r="A104" t="s">
        <v>16</v>
      </c>
      <c r="B104" t="s">
        <v>3509</v>
      </c>
      <c r="C104" t="s">
        <v>3510</v>
      </c>
      <c r="D104" t="s">
        <v>3524</v>
      </c>
      <c r="E104" t="s">
        <v>3525</v>
      </c>
      <c r="F104" t="s">
        <v>3318</v>
      </c>
      <c r="G104" t="s">
        <v>3526</v>
      </c>
    </row>
    <row r="105" spans="1:7" ht="11.25" customHeight="1" x14ac:dyDescent="0.15">
      <c r="A105" t="s">
        <v>16</v>
      </c>
      <c r="B105" t="s">
        <v>3527</v>
      </c>
      <c r="C105" t="s">
        <v>3528</v>
      </c>
      <c r="D105" t="s">
        <v>3527</v>
      </c>
      <c r="E105" t="s">
        <v>3528</v>
      </c>
      <c r="F105" t="s">
        <v>3307</v>
      </c>
      <c r="G105" t="s">
        <v>3529</v>
      </c>
    </row>
    <row r="106" spans="1:7" ht="11.25" customHeight="1" x14ac:dyDescent="0.15">
      <c r="A106" t="s">
        <v>16</v>
      </c>
      <c r="B106" t="s">
        <v>161</v>
      </c>
      <c r="C106" t="s">
        <v>162</v>
      </c>
      <c r="D106" t="s">
        <v>161</v>
      </c>
      <c r="E106" t="s">
        <v>162</v>
      </c>
      <c r="F106" t="s">
        <v>3307</v>
      </c>
      <c r="G106" t="s">
        <v>160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x14ac:dyDescent="0.15"/>
  <cols>
    <col min="2" max="2" width="84.28515625" customWidth="1"/>
  </cols>
  <sheetData>
    <row r="1" spans="1:3" ht="11.25" customHeight="1" x14ac:dyDescent="0.15">
      <c r="A1" t="s">
        <v>3582</v>
      </c>
      <c r="B1" t="s">
        <v>3583</v>
      </c>
      <c r="C1" t="s">
        <v>1287</v>
      </c>
    </row>
    <row r="2" spans="1:3" ht="11.25" customHeight="1" x14ac:dyDescent="0.15">
      <c r="A2">
        <v>4189678</v>
      </c>
      <c r="B2" t="s">
        <v>3584</v>
      </c>
      <c r="C2" t="s">
        <v>3585</v>
      </c>
    </row>
    <row r="3" spans="1:3" ht="11.25" customHeight="1" x14ac:dyDescent="0.15">
      <c r="A3">
        <v>4190415</v>
      </c>
      <c r="B3" t="s">
        <v>3586</v>
      </c>
      <c r="C3" t="s">
        <v>3585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
  <sheetViews>
    <sheetView showGridLines="0" workbookViewId="0"/>
  </sheetViews>
  <sheetFormatPr defaultColWidth="9.140625" defaultRowHeight="15" customHeight="1" x14ac:dyDescent="0.15"/>
  <cols>
    <col min="1" max="1" width="38.42578125" customWidth="1"/>
  </cols>
  <sheetData>
    <row r="1" spans="1:2" ht="15" customHeight="1" x14ac:dyDescent="0.15">
      <c r="A1" t="s">
        <v>3587</v>
      </c>
      <c r="B1" t="s">
        <v>3588</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x14ac:dyDescent="0.15"/>
  <sheetData>
    <row r="1" spans="1:2" ht="11.25" customHeight="1" x14ac:dyDescent="0.15">
      <c r="A1" t="s">
        <v>3589</v>
      </c>
      <c r="B1" t="b">
        <v>1</v>
      </c>
    </row>
    <row r="2" spans="1:2" ht="11.25" customHeight="1" x14ac:dyDescent="0.15">
      <c r="A2" t="s">
        <v>3590</v>
      </c>
      <c r="B2" t="b">
        <v>0</v>
      </c>
    </row>
    <row r="3" spans="1:2" ht="11.25" customHeight="1" x14ac:dyDescent="0.15">
      <c r="A3" t="s">
        <v>3591</v>
      </c>
      <c r="B3" t="b">
        <v>0</v>
      </c>
    </row>
    <row r="4" spans="1:2" ht="11.25" customHeight="1" x14ac:dyDescent="0.15">
      <c r="A4" t="s">
        <v>3592</v>
      </c>
      <c r="B4" t="b">
        <v>0</v>
      </c>
    </row>
    <row r="5" spans="1:2" ht="11.25" customHeight="1" x14ac:dyDescent="0.15">
      <c r="A5" t="s">
        <v>3593</v>
      </c>
      <c r="B5" t="b">
        <v>1</v>
      </c>
    </row>
    <row r="6" spans="1:2" ht="11.25" customHeight="1" x14ac:dyDescent="0.15">
      <c r="A6" t="s">
        <v>3594</v>
      </c>
      <c r="B6" t="b">
        <v>0</v>
      </c>
    </row>
    <row r="7" spans="1:2" ht="11.25" customHeight="1" x14ac:dyDescent="0.15">
      <c r="A7" t="s">
        <v>3595</v>
      </c>
      <c r="B7" t="b">
        <v>0</v>
      </c>
    </row>
    <row r="8" spans="1:2" ht="11.25" customHeight="1" x14ac:dyDescent="0.15">
      <c r="A8" t="s">
        <v>3596</v>
      </c>
      <c r="B8" t="b">
        <v>0</v>
      </c>
    </row>
    <row r="9" spans="1:2" ht="11.25" customHeight="1" x14ac:dyDescent="0.15">
      <c r="A9" t="s">
        <v>3597</v>
      </c>
      <c r="B9" t="b">
        <v>1</v>
      </c>
    </row>
    <row r="10" spans="1:2" ht="11.25" customHeight="1" x14ac:dyDescent="0.15">
      <c r="A10" t="s">
        <v>3598</v>
      </c>
      <c r="B10" t="b">
        <v>0</v>
      </c>
    </row>
    <row r="11" spans="1:2" ht="11.25" customHeight="1" x14ac:dyDescent="0.15">
      <c r="A11" t="s">
        <v>3599</v>
      </c>
      <c r="B11" t="b">
        <v>0</v>
      </c>
    </row>
    <row r="12" spans="1:2" ht="11.25" customHeight="1" x14ac:dyDescent="0.15">
      <c r="A12" t="s">
        <v>3600</v>
      </c>
      <c r="B12" t="b">
        <v>0</v>
      </c>
    </row>
    <row r="13" spans="1:2" ht="11.25" customHeight="1" x14ac:dyDescent="0.15">
      <c r="A13" t="s">
        <v>3601</v>
      </c>
      <c r="B13" t="b">
        <v>0</v>
      </c>
    </row>
    <row r="14" spans="1:2" ht="11.25" customHeight="1" x14ac:dyDescent="0.15">
      <c r="A14" t="s">
        <v>3602</v>
      </c>
      <c r="B14" t="b">
        <v>0</v>
      </c>
    </row>
    <row r="15" spans="1:2" ht="11.25" customHeight="1" x14ac:dyDescent="0.15">
      <c r="A15" t="s">
        <v>3603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x14ac:dyDescent="0.15"/>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x14ac:dyDescent="0.15"/>
  <cols>
    <col min="1" max="1" width="36.28515625" customWidth="1"/>
    <col min="2" max="2" width="21.140625" customWidth="1"/>
  </cols>
  <sheetData>
    <row r="1" spans="1:2" ht="11.25" customHeight="1" x14ac:dyDescent="0.15">
      <c r="A1" t="s">
        <v>3604</v>
      </c>
      <c r="B1" t="s">
        <v>3605</v>
      </c>
    </row>
    <row r="2" spans="1:2" ht="11.25" customHeight="1" x14ac:dyDescent="0.15">
      <c r="A2" t="s">
        <v>3606</v>
      </c>
      <c r="B2" t="s">
        <v>3607</v>
      </c>
    </row>
    <row r="3" spans="1:2" ht="11.25" customHeight="1" x14ac:dyDescent="0.15">
      <c r="A3" t="s">
        <v>3608</v>
      </c>
      <c r="B3" t="s">
        <v>3609</v>
      </c>
    </row>
    <row r="4" spans="1:2" ht="11.25" customHeight="1" x14ac:dyDescent="0.15">
      <c r="A4" t="s">
        <v>3610</v>
      </c>
      <c r="B4" t="s">
        <v>3611</v>
      </c>
    </row>
    <row r="5" spans="1:2" ht="11.25" customHeight="1" x14ac:dyDescent="0.15">
      <c r="A5" t="s">
        <v>3612</v>
      </c>
      <c r="B5" t="s">
        <v>3613</v>
      </c>
    </row>
    <row r="6" spans="1:2" ht="11.25" customHeight="1" x14ac:dyDescent="0.15">
      <c r="A6" t="s">
        <v>3614</v>
      </c>
      <c r="B6" t="s">
        <v>3615</v>
      </c>
    </row>
    <row r="7" spans="1:2" ht="11.25" customHeight="1" x14ac:dyDescent="0.15">
      <c r="A7" t="s">
        <v>3616</v>
      </c>
      <c r="B7" t="s">
        <v>3617</v>
      </c>
    </row>
    <row r="8" spans="1:2" ht="11.25" customHeight="1" x14ac:dyDescent="0.15">
      <c r="A8" t="s">
        <v>3618</v>
      </c>
      <c r="B8" t="s">
        <v>3619</v>
      </c>
    </row>
    <row r="9" spans="1:2" ht="11.25" customHeight="1" x14ac:dyDescent="0.15">
      <c r="A9" t="s">
        <v>3620</v>
      </c>
      <c r="B9" t="s">
        <v>3621</v>
      </c>
    </row>
    <row r="10" spans="1:2" ht="11.25" customHeight="1" x14ac:dyDescent="0.15">
      <c r="A10" t="s">
        <v>3622</v>
      </c>
      <c r="B10" t="s">
        <v>3623</v>
      </c>
    </row>
    <row r="11" spans="1:2" ht="11.25" customHeight="1" x14ac:dyDescent="0.15">
      <c r="A11" t="s">
        <v>3624</v>
      </c>
      <c r="B11" t="s">
        <v>3625</v>
      </c>
    </row>
    <row r="12" spans="1:2" ht="11.25" customHeight="1" x14ac:dyDescent="0.15">
      <c r="A12" t="s">
        <v>3626</v>
      </c>
      <c r="B12" t="s">
        <v>3627</v>
      </c>
    </row>
    <row r="13" spans="1:2" ht="11.25" customHeight="1" x14ac:dyDescent="0.15">
      <c r="A13" t="s">
        <v>3628</v>
      </c>
      <c r="B13" t="s">
        <v>3629</v>
      </c>
    </row>
    <row r="14" spans="1:2" ht="11.25" customHeight="1" x14ac:dyDescent="0.15">
      <c r="A14" t="s">
        <v>3630</v>
      </c>
      <c r="B14" t="s">
        <v>3631</v>
      </c>
    </row>
    <row r="15" spans="1:2" ht="11.25" customHeight="1" x14ac:dyDescent="0.15">
      <c r="A15" t="s">
        <v>3632</v>
      </c>
      <c r="B15" t="s">
        <v>3633</v>
      </c>
    </row>
    <row r="16" spans="1:2" ht="11.25" customHeight="1" x14ac:dyDescent="0.15">
      <c r="A16" t="s">
        <v>3634</v>
      </c>
      <c r="B16" t="s">
        <v>3635</v>
      </c>
    </row>
    <row r="17" spans="1:2" ht="11.25" customHeight="1" x14ac:dyDescent="0.15">
      <c r="A17" t="s">
        <v>3636</v>
      </c>
      <c r="B17" t="s">
        <v>3637</v>
      </c>
    </row>
    <row r="18" spans="1:2" ht="11.25" customHeight="1" x14ac:dyDescent="0.15">
      <c r="A18" t="s">
        <v>3638</v>
      </c>
      <c r="B18" t="s">
        <v>3639</v>
      </c>
    </row>
    <row r="19" spans="1:2" ht="11.25" customHeight="1" x14ac:dyDescent="0.15">
      <c r="A19" t="s">
        <v>3640</v>
      </c>
      <c r="B19" t="s">
        <v>3641</v>
      </c>
    </row>
    <row r="20" spans="1:2" ht="11.25" customHeight="1" x14ac:dyDescent="0.15">
      <c r="A20" t="s">
        <v>3642</v>
      </c>
      <c r="B20" t="s">
        <v>3643</v>
      </c>
    </row>
    <row r="21" spans="1:2" ht="11.25" customHeight="1" x14ac:dyDescent="0.15">
      <c r="A21" t="s">
        <v>3644</v>
      </c>
      <c r="B21" t="s">
        <v>3645</v>
      </c>
    </row>
    <row r="22" spans="1:2" ht="11.25" customHeight="1" x14ac:dyDescent="0.15">
      <c r="A22" t="s">
        <v>3646</v>
      </c>
      <c r="B22" t="s">
        <v>3647</v>
      </c>
    </row>
    <row r="23" spans="1:2" ht="11.25" customHeight="1" x14ac:dyDescent="0.15">
      <c r="A23" t="s">
        <v>3648</v>
      </c>
      <c r="B23" t="s">
        <v>3649</v>
      </c>
    </row>
    <row r="24" spans="1:2" ht="11.25" customHeight="1" x14ac:dyDescent="0.15">
      <c r="A24" t="s">
        <v>3650</v>
      </c>
      <c r="B24" t="s">
        <v>3651</v>
      </c>
    </row>
    <row r="25" spans="1:2" ht="11.25" customHeight="1" x14ac:dyDescent="0.15">
      <c r="A25" t="s">
        <v>3652</v>
      </c>
      <c r="B25" t="s">
        <v>3653</v>
      </c>
    </row>
    <row r="26" spans="1:2" ht="11.25" customHeight="1" x14ac:dyDescent="0.15">
      <c r="A26" t="s">
        <v>3654</v>
      </c>
      <c r="B26" t="s">
        <v>3655</v>
      </c>
    </row>
    <row r="27" spans="1:2" ht="11.25" customHeight="1" x14ac:dyDescent="0.15">
      <c r="A27" t="s">
        <v>3656</v>
      </c>
      <c r="B27" t="s">
        <v>3657</v>
      </c>
    </row>
    <row r="28" spans="1:2" ht="11.25" customHeight="1" x14ac:dyDescent="0.15">
      <c r="A28" t="s">
        <v>3658</v>
      </c>
      <c r="B28" t="s">
        <v>3659</v>
      </c>
    </row>
    <row r="29" spans="1:2" ht="11.25" customHeight="1" x14ac:dyDescent="0.15">
      <c r="A29" t="s">
        <v>3660</v>
      </c>
      <c r="B29" t="s">
        <v>3661</v>
      </c>
    </row>
    <row r="30" spans="1:2" ht="11.25" customHeight="1" x14ac:dyDescent="0.15">
      <c r="A30" t="s">
        <v>3662</v>
      </c>
      <c r="B30" t="s">
        <v>3663</v>
      </c>
    </row>
    <row r="31" spans="1:2" ht="11.25" customHeight="1" x14ac:dyDescent="0.15">
      <c r="A31" t="s">
        <v>3664</v>
      </c>
      <c r="B31" t="s">
        <v>3665</v>
      </c>
    </row>
    <row r="32" spans="1:2" ht="11.25" customHeight="1" x14ac:dyDescent="0.15">
      <c r="A32" t="s">
        <v>3666</v>
      </c>
      <c r="B32" t="s">
        <v>3667</v>
      </c>
    </row>
    <row r="33" spans="1:2" ht="11.25" customHeight="1" x14ac:dyDescent="0.15">
      <c r="A33" t="s">
        <v>3668</v>
      </c>
      <c r="B33" t="s">
        <v>3669</v>
      </c>
    </row>
    <row r="34" spans="1:2" ht="11.25" customHeight="1" x14ac:dyDescent="0.15">
      <c r="A34" t="s">
        <v>3670</v>
      </c>
      <c r="B34" t="s">
        <v>3671</v>
      </c>
    </row>
    <row r="35" spans="1:2" ht="11.25" customHeight="1" x14ac:dyDescent="0.15">
      <c r="A35" t="s">
        <v>3672</v>
      </c>
      <c r="B35" t="s">
        <v>3673</v>
      </c>
    </row>
    <row r="36" spans="1:2" ht="11.25" customHeight="1" x14ac:dyDescent="0.15">
      <c r="A36" t="s">
        <v>3674</v>
      </c>
      <c r="B36" t="s">
        <v>3675</v>
      </c>
    </row>
    <row r="37" spans="1:2" ht="11.25" customHeight="1" x14ac:dyDescent="0.15">
      <c r="A37" t="s">
        <v>3676</v>
      </c>
      <c r="B37" t="s">
        <v>3677</v>
      </c>
    </row>
    <row r="38" spans="1:2" ht="11.25" customHeight="1" x14ac:dyDescent="0.15">
      <c r="A38" t="s">
        <v>3678</v>
      </c>
      <c r="B38" t="s">
        <v>3679</v>
      </c>
    </row>
    <row r="39" spans="1:2" ht="11.25" customHeight="1" x14ac:dyDescent="0.15">
      <c r="A39" t="s">
        <v>3680</v>
      </c>
      <c r="B39" t="s">
        <v>3681</v>
      </c>
    </row>
    <row r="40" spans="1:2" ht="11.25" customHeight="1" x14ac:dyDescent="0.15">
      <c r="A40" t="s">
        <v>3682</v>
      </c>
      <c r="B40" t="s">
        <v>3683</v>
      </c>
    </row>
    <row r="41" spans="1:2" ht="11.25" customHeight="1" x14ac:dyDescent="0.15">
      <c r="A41" t="s">
        <v>3684</v>
      </c>
      <c r="B41" t="s">
        <v>3685</v>
      </c>
    </row>
    <row r="42" spans="1:2" ht="11.25" customHeight="1" x14ac:dyDescent="0.15">
      <c r="A42" t="s">
        <v>3686</v>
      </c>
      <c r="B42" t="s">
        <v>3687</v>
      </c>
    </row>
    <row r="43" spans="1:2" ht="11.25" customHeight="1" x14ac:dyDescent="0.15">
      <c r="A43" t="s">
        <v>3688</v>
      </c>
      <c r="B43" t="s">
        <v>3689</v>
      </c>
    </row>
    <row r="44" spans="1:2" ht="11.25" customHeight="1" x14ac:dyDescent="0.15">
      <c r="A44" t="s">
        <v>3690</v>
      </c>
      <c r="B44" t="s">
        <v>3691</v>
      </c>
    </row>
    <row r="45" spans="1:2" ht="11.25" customHeight="1" x14ac:dyDescent="0.15">
      <c r="A45" t="s">
        <v>3692</v>
      </c>
      <c r="B45" t="s">
        <v>3693</v>
      </c>
    </row>
    <row r="46" spans="1:2" ht="11.25" customHeight="1" x14ac:dyDescent="0.15">
      <c r="A46" t="s">
        <v>3694</v>
      </c>
      <c r="B46" t="s">
        <v>3695</v>
      </c>
    </row>
    <row r="47" spans="1:2" ht="11.25" customHeight="1" x14ac:dyDescent="0.15">
      <c r="A47" t="s">
        <v>3696</v>
      </c>
      <c r="B47" t="s">
        <v>3697</v>
      </c>
    </row>
    <row r="48" spans="1:2" ht="11.25" customHeight="1" x14ac:dyDescent="0.15">
      <c r="A48" t="s">
        <v>3698</v>
      </c>
      <c r="B48" t="s">
        <v>3699</v>
      </c>
    </row>
    <row r="49" spans="1:2" ht="11.25" customHeight="1" x14ac:dyDescent="0.15">
      <c r="A49" t="s">
        <v>3700</v>
      </c>
      <c r="B49" t="s">
        <v>3701</v>
      </c>
    </row>
    <row r="50" spans="1:2" ht="11.25" customHeight="1" x14ac:dyDescent="0.15">
      <c r="A50" t="s">
        <v>3702</v>
      </c>
      <c r="B50" t="s">
        <v>3703</v>
      </c>
    </row>
    <row r="51" spans="1:2" ht="11.25" customHeight="1" x14ac:dyDescent="0.15">
      <c r="A51" t="s">
        <v>3704</v>
      </c>
      <c r="B51" t="s">
        <v>3705</v>
      </c>
    </row>
    <row r="52" spans="1:2" ht="11.25" customHeight="1" x14ac:dyDescent="0.15">
      <c r="A52" t="s">
        <v>3706</v>
      </c>
      <c r="B52" t="s">
        <v>3707</v>
      </c>
    </row>
    <row r="53" spans="1:2" ht="11.25" customHeight="1" x14ac:dyDescent="0.15">
      <c r="A53" t="s">
        <v>3708</v>
      </c>
      <c r="B53" t="s">
        <v>3709</v>
      </c>
    </row>
    <row r="54" spans="1:2" ht="11.25" customHeight="1" x14ac:dyDescent="0.15">
      <c r="A54" t="s">
        <v>3710</v>
      </c>
      <c r="B54" t="s">
        <v>3711</v>
      </c>
    </row>
    <row r="55" spans="1:2" ht="11.25" customHeight="1" x14ac:dyDescent="0.15">
      <c r="A55" t="s">
        <v>3712</v>
      </c>
      <c r="B55" t="s">
        <v>3713</v>
      </c>
    </row>
    <row r="56" spans="1:2" ht="11.25" customHeight="1" x14ac:dyDescent="0.15">
      <c r="A56" t="s">
        <v>3714</v>
      </c>
      <c r="B56" t="s">
        <v>3715</v>
      </c>
    </row>
    <row r="57" spans="1:2" ht="11.25" customHeight="1" x14ac:dyDescent="0.15">
      <c r="A57" t="s">
        <v>3716</v>
      </c>
      <c r="B57" t="s">
        <v>3717</v>
      </c>
    </row>
    <row r="58" spans="1:2" ht="11.25" customHeight="1" x14ac:dyDescent="0.15">
      <c r="A58" t="s">
        <v>3718</v>
      </c>
      <c r="B58" t="s">
        <v>3719</v>
      </c>
    </row>
    <row r="59" spans="1:2" ht="11.25" customHeight="1" x14ac:dyDescent="0.15">
      <c r="A59" t="s">
        <v>3720</v>
      </c>
      <c r="B59" t="s">
        <v>3721</v>
      </c>
    </row>
    <row r="60" spans="1:2" ht="11.25" customHeight="1" x14ac:dyDescent="0.15">
      <c r="A60" t="s">
        <v>3722</v>
      </c>
      <c r="B60" t="s">
        <v>3723</v>
      </c>
    </row>
    <row r="61" spans="1:2" ht="11.25" customHeight="1" x14ac:dyDescent="0.15">
      <c r="B61" t="s">
        <v>3724</v>
      </c>
    </row>
    <row r="62" spans="1:2" ht="11.25" customHeight="1" x14ac:dyDescent="0.15">
      <c r="B62" t="s">
        <v>3725</v>
      </c>
    </row>
    <row r="63" spans="1:2" ht="11.25" customHeight="1" x14ac:dyDescent="0.15">
      <c r="B63" t="s">
        <v>3726</v>
      </c>
    </row>
    <row r="64" spans="1:2" ht="11.25" customHeight="1" x14ac:dyDescent="0.15">
      <c r="B64" t="s">
        <v>3727</v>
      </c>
    </row>
    <row r="65" spans="2:2" ht="11.25" customHeight="1" x14ac:dyDescent="0.15">
      <c r="B65" t="s">
        <v>3728</v>
      </c>
    </row>
    <row r="66" spans="2:2" ht="11.25" customHeight="1" x14ac:dyDescent="0.15">
      <c r="B66" t="s">
        <v>3729</v>
      </c>
    </row>
    <row r="67" spans="2:2" ht="11.25" customHeight="1" x14ac:dyDescent="0.15">
      <c r="B67" t="s">
        <v>3730</v>
      </c>
    </row>
    <row r="68" spans="2:2" ht="11.25" customHeight="1" x14ac:dyDescent="0.15">
      <c r="B68" t="s">
        <v>3731</v>
      </c>
    </row>
    <row r="69" spans="2:2" ht="11.25" customHeight="1" x14ac:dyDescent="0.15">
      <c r="B69" t="s">
        <v>3732</v>
      </c>
    </row>
    <row r="70" spans="2:2" ht="11.25" customHeight="1" x14ac:dyDescent="0.15">
      <c r="B70" t="s">
        <v>3733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6"/>
  <sheetViews>
    <sheetView showGridLines="0" workbookViewId="0"/>
  </sheetViews>
  <sheetFormatPr defaultColWidth="9.140625" defaultRowHeight="11.25" customHeight="1" x14ac:dyDescent="0.15"/>
  <cols>
    <col min="1" max="1" width="3.7109375" customWidth="1"/>
    <col min="2" max="2" width="90.7109375" customWidth="1"/>
  </cols>
  <sheetData>
    <row r="1" spans="2:2" ht="11.25" customHeight="1" x14ac:dyDescent="0.15">
      <c r="B1" t="s">
        <v>3734</v>
      </c>
    </row>
    <row r="2" spans="2:2" ht="90" customHeight="1" x14ac:dyDescent="0.15">
      <c r="B2" t="s">
        <v>3735</v>
      </c>
    </row>
    <row r="3" spans="2:2" ht="67.5" customHeight="1" x14ac:dyDescent="0.15">
      <c r="B3" t="s">
        <v>3736</v>
      </c>
    </row>
    <row r="4" spans="2:2" ht="33.75" customHeight="1" x14ac:dyDescent="0.15">
      <c r="B4" t="s">
        <v>3737</v>
      </c>
    </row>
    <row r="5" spans="2:2" ht="11.25" customHeight="1" x14ac:dyDescent="0.15">
      <c r="B5" t="s">
        <v>3738</v>
      </c>
    </row>
    <row r="6" spans="2:2" ht="22.5" customHeight="1" x14ac:dyDescent="0.15">
      <c r="B6" t="s">
        <v>3739</v>
      </c>
    </row>
    <row r="7" spans="2:2" ht="22.5" customHeight="1" x14ac:dyDescent="0.15">
      <c r="B7" t="s">
        <v>3740</v>
      </c>
    </row>
    <row r="8" spans="2:2" ht="22.5" customHeight="1" x14ac:dyDescent="0.15">
      <c r="B8" t="s">
        <v>3741</v>
      </c>
    </row>
    <row r="9" spans="2:2" ht="22.5" customHeight="1" x14ac:dyDescent="0.15">
      <c r="B9" t="s">
        <v>3742</v>
      </c>
    </row>
    <row r="10" spans="2:2" ht="56.25" customHeight="1" x14ac:dyDescent="0.15">
      <c r="B10" t="s">
        <v>3743</v>
      </c>
    </row>
    <row r="11" spans="2:2" ht="12.75" customHeight="1" x14ac:dyDescent="0.15">
      <c r="B11" t="s">
        <v>3744</v>
      </c>
    </row>
    <row r="12" spans="2:2" ht="11.25" customHeight="1" x14ac:dyDescent="0.15">
      <c r="B12" t="s">
        <v>3745</v>
      </c>
    </row>
    <row r="13" spans="2:2" ht="22.5" customHeight="1" x14ac:dyDescent="0.15">
      <c r="B13" t="s">
        <v>3746</v>
      </c>
    </row>
    <row r="14" spans="2:2" ht="67.5" customHeight="1" x14ac:dyDescent="0.15">
      <c r="B14" t="s">
        <v>3747</v>
      </c>
    </row>
    <row r="15" spans="2:2" ht="22.5" customHeight="1" x14ac:dyDescent="0.15">
      <c r="B15" t="s">
        <v>3748</v>
      </c>
    </row>
    <row r="16" spans="2:2" ht="11.25" customHeight="1" x14ac:dyDescent="0.15">
      <c r="B16" t="s">
        <v>3749</v>
      </c>
    </row>
    <row r="17" spans="2:2" ht="33.75" customHeight="1" x14ac:dyDescent="0.15">
      <c r="B17" t="s">
        <v>3750</v>
      </c>
    </row>
    <row r="18" spans="2:2" ht="33.75" customHeight="1" x14ac:dyDescent="0.15">
      <c r="B18" t="s">
        <v>3751</v>
      </c>
    </row>
    <row r="19" spans="2:2" ht="11.25" customHeight="1" x14ac:dyDescent="0.15">
      <c r="B19" t="s">
        <v>3752</v>
      </c>
    </row>
    <row r="20" spans="2:2" ht="33.75" customHeight="1" x14ac:dyDescent="0.15">
      <c r="B20" t="s">
        <v>3753</v>
      </c>
    </row>
    <row r="21" spans="2:2" ht="11.25" customHeight="1" x14ac:dyDescent="0.15">
      <c r="B21" t="s">
        <v>3754</v>
      </c>
    </row>
    <row r="22" spans="2:2" ht="11.25" customHeight="1" x14ac:dyDescent="0.15">
      <c r="B22" t="s">
        <v>3755</v>
      </c>
    </row>
    <row r="24" spans="2:2" ht="22.5" customHeight="1" x14ac:dyDescent="0.15">
      <c r="B24" t="s">
        <v>3756</v>
      </c>
    </row>
    <row r="26" spans="2:2" ht="11.25" customHeight="1" x14ac:dyDescent="0.15">
      <c r="B26" t="s">
        <v>3757</v>
      </c>
    </row>
    <row r="27" spans="2:2" ht="22.5" customHeight="1" x14ac:dyDescent="0.15">
      <c r="B27" t="s">
        <v>514</v>
      </c>
    </row>
    <row r="28" spans="2:2" ht="56.25" customHeight="1" x14ac:dyDescent="0.15">
      <c r="B28" t="s">
        <v>3758</v>
      </c>
    </row>
    <row r="29" spans="2:2" ht="11.25" customHeight="1" x14ac:dyDescent="0.15">
      <c r="B29" t="s">
        <v>3759</v>
      </c>
    </row>
    <row r="30" spans="2:2" ht="22.5" customHeight="1" x14ac:dyDescent="0.15">
      <c r="B30" t="s">
        <v>3760</v>
      </c>
    </row>
    <row r="32" spans="2:2" ht="11.25" customHeight="1" x14ac:dyDescent="0.15">
      <c r="B32" t="s">
        <v>3761</v>
      </c>
    </row>
    <row r="33" spans="1:2" ht="14.25" customHeight="1" x14ac:dyDescent="0.15">
      <c r="A33">
        <v>1</v>
      </c>
      <c r="B33" t="s">
        <v>3762</v>
      </c>
    </row>
    <row r="34" spans="1:2" ht="14.25" customHeight="1" x14ac:dyDescent="0.15">
      <c r="A34">
        <v>2</v>
      </c>
      <c r="B34" t="s">
        <v>3763</v>
      </c>
    </row>
    <row r="35" spans="1:2" ht="11.25" customHeight="1" x14ac:dyDescent="0.15">
      <c r="B35" t="s">
        <v>3764</v>
      </c>
    </row>
    <row r="36" spans="1:2" ht="11.25" customHeight="1" x14ac:dyDescent="0.15">
      <c r="B36" t="s">
        <v>3765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2242</vt:i4>
      </vt:variant>
    </vt:vector>
  </HeadingPairs>
  <TitlesOfParts>
    <vt:vector size="233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pt_cs_47</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2025-01-15T23:14:06Z</dcterms:modified>
</cp:coreProperties>
</file>